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0210"/>
  <workbookPr filterPrivacy="1" autoCompressPictures="0"/>
  <bookViews>
    <workbookView xWindow="0" yWindow="460" windowWidth="20500" windowHeight="10980" tabRatio="607"/>
  </bookViews>
  <sheets>
    <sheet name="Instructions for use of Tool" sheetId="16" r:id="rId1"/>
    <sheet name="01-OPTIONS" sheetId="6" r:id="rId2"/>
    <sheet name="RFE" sheetId="14" r:id="rId3"/>
    <sheet name="DROPDOWN" sheetId="7" state="hidden" r:id="rId4"/>
    <sheet name="02-FSSM A" sheetId="3" r:id="rId5"/>
    <sheet name="BACKEND" sheetId="4" state="hidden" r:id="rId6"/>
    <sheet name="03-FSSM B" sheetId="10" r:id="rId7"/>
    <sheet name="04-LWM" sheetId="11" r:id="rId8"/>
    <sheet name="LWM-Inflation Formula" sheetId="15" state="hidden" r:id="rId9"/>
    <sheet name="CONSOLIDATED COST SUMMARIES" sheetId="8" state="hidden" r:id="rId10"/>
    <sheet name="Database sheet" sheetId="12" state="hidden" r:id="rId11"/>
  </sheets>
  <definedNames>
    <definedName name="_xlnm._FilterDatabase" localSheetId="10" hidden="1">'Database sheet'!#REF!</definedName>
    <definedName name="_xlnm.Print_Area" localSheetId="7">'04-LWM'!$A$1:$F$29</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4" i="3" l="1"/>
  <c r="C7" i="3" s="1"/>
  <c r="Q118" i="12"/>
  <c r="C8" i="3"/>
  <c r="C9" i="3"/>
  <c r="C14" i="3"/>
  <c r="C5" i="11"/>
  <c r="C6" i="11"/>
  <c r="C16" i="11"/>
  <c r="C17" i="11" s="1"/>
  <c r="D16" i="11"/>
  <c r="D17" i="11" s="1"/>
  <c r="E16" i="11"/>
  <c r="F16" i="11"/>
  <c r="F19" i="11"/>
  <c r="E19" i="11"/>
  <c r="B3" i="15"/>
  <c r="B4" i="15" s="1"/>
  <c r="E22" i="11"/>
  <c r="D22" i="11"/>
  <c r="C22" i="11"/>
  <c r="F22" i="11"/>
  <c r="E20" i="11"/>
  <c r="E18" i="11" s="1"/>
  <c r="E24" i="11" s="1"/>
  <c r="F20" i="11"/>
  <c r="F18" i="11"/>
  <c r="C23" i="11"/>
  <c r="C21" i="11" s="1"/>
  <c r="D23" i="11"/>
  <c r="D21" i="11"/>
  <c r="E23" i="11"/>
  <c r="E21" i="11" s="1"/>
  <c r="F23" i="11"/>
  <c r="F21" i="11"/>
  <c r="Q21" i="12"/>
  <c r="C8" i="4"/>
  <c r="C9" i="4" s="1"/>
  <c r="C5" i="3"/>
  <c r="C6" i="3"/>
  <c r="C4" i="4"/>
  <c r="B16" i="10"/>
  <c r="H47" i="14"/>
  <c r="H48" i="14"/>
  <c r="H51" i="14" s="1"/>
  <c r="H49" i="14"/>
  <c r="H50" i="14"/>
  <c r="I47" i="14"/>
  <c r="I48" i="14"/>
  <c r="I51" i="14" s="1"/>
  <c r="I49" i="14"/>
  <c r="I50" i="14"/>
  <c r="G47" i="14"/>
  <c r="G48" i="14"/>
  <c r="G49" i="14"/>
  <c r="G50" i="14"/>
  <c r="G51" i="14"/>
  <c r="E17" i="11"/>
  <c r="F17" i="11"/>
  <c r="G63" i="14"/>
  <c r="E2" i="8"/>
  <c r="C2" i="11"/>
  <c r="H39" i="14"/>
  <c r="C10" i="3"/>
  <c r="Q36" i="12"/>
  <c r="Q123" i="12"/>
  <c r="Q122" i="12"/>
  <c r="Q121" i="12"/>
  <c r="Q120" i="12"/>
  <c r="Q119" i="12"/>
  <c r="Q117" i="12"/>
  <c r="Q116" i="12"/>
  <c r="Q115" i="12"/>
  <c r="Q114" i="12"/>
  <c r="Q113" i="12"/>
  <c r="Q112" i="12"/>
  <c r="Q111" i="12"/>
  <c r="Q110" i="12"/>
  <c r="Q109" i="12"/>
  <c r="Q108" i="12"/>
  <c r="Q107" i="12"/>
  <c r="Q106" i="12"/>
  <c r="Q105" i="12"/>
  <c r="Q104" i="12"/>
  <c r="Q103" i="12"/>
  <c r="Q102" i="12"/>
  <c r="Q101" i="12"/>
  <c r="Q100" i="12"/>
  <c r="Q99" i="12"/>
  <c r="Q98" i="12"/>
  <c r="Q97" i="12"/>
  <c r="Q96" i="12"/>
  <c r="Q95" i="12"/>
  <c r="Q94" i="12"/>
  <c r="Q93" i="12"/>
  <c r="Q92" i="12"/>
  <c r="Q91" i="12"/>
  <c r="Q90" i="12"/>
  <c r="Q89" i="12"/>
  <c r="Q88" i="12"/>
  <c r="Q87" i="12"/>
  <c r="Q86" i="12"/>
  <c r="Q85" i="12"/>
  <c r="Q84" i="12"/>
  <c r="Q83" i="12"/>
  <c r="Q82" i="12"/>
  <c r="Q81" i="12"/>
  <c r="Q80" i="12"/>
  <c r="Q79" i="12"/>
  <c r="Q78" i="12"/>
  <c r="Q77" i="12"/>
  <c r="Q76" i="12"/>
  <c r="Q75" i="12"/>
  <c r="Q74" i="12"/>
  <c r="Q73" i="12"/>
  <c r="Q72" i="12"/>
  <c r="Q71" i="12"/>
  <c r="Q70" i="12"/>
  <c r="Q69" i="12"/>
  <c r="Q68" i="12"/>
  <c r="Q67" i="12"/>
  <c r="Q66" i="12"/>
  <c r="Q65" i="12"/>
  <c r="Q64" i="12"/>
  <c r="Q63" i="12"/>
  <c r="Q62" i="12"/>
  <c r="Q61" i="12"/>
  <c r="Q60" i="12"/>
  <c r="Q59" i="12"/>
  <c r="Q58" i="12"/>
  <c r="Q57" i="12"/>
  <c r="Q56" i="12"/>
  <c r="Q55" i="12"/>
  <c r="Q54" i="12"/>
  <c r="Q53" i="12"/>
  <c r="Q52" i="12"/>
  <c r="Q51" i="12"/>
  <c r="Q50" i="12"/>
  <c r="Q49" i="12"/>
  <c r="Q48" i="12"/>
  <c r="Q47" i="12"/>
  <c r="Q46" i="12"/>
  <c r="Q45" i="12"/>
  <c r="Q44" i="12"/>
  <c r="Q43" i="12"/>
  <c r="Q42" i="12"/>
  <c r="Q41" i="12"/>
  <c r="Q40" i="12"/>
  <c r="Q39" i="12"/>
  <c r="Q38" i="12"/>
  <c r="Q37" i="12"/>
  <c r="Q35" i="12"/>
  <c r="Q34" i="12"/>
  <c r="Q33" i="12"/>
  <c r="Q32" i="12"/>
  <c r="Q31" i="12"/>
  <c r="Q30" i="12"/>
  <c r="Q29" i="12"/>
  <c r="Q28" i="12"/>
  <c r="Q27" i="12"/>
  <c r="Q26" i="12"/>
  <c r="Q25" i="12"/>
  <c r="Q24" i="12"/>
  <c r="Q23" i="12"/>
  <c r="Q22" i="12"/>
  <c r="Q20" i="12"/>
  <c r="Q19" i="12"/>
  <c r="Q18" i="12"/>
  <c r="Q17" i="12"/>
  <c r="Q16" i="12"/>
  <c r="Q15" i="12"/>
  <c r="Q14" i="12"/>
  <c r="Q13" i="12"/>
  <c r="Q12" i="12"/>
  <c r="Q11" i="12"/>
  <c r="Q10" i="12"/>
  <c r="Q9" i="12"/>
  <c r="Q8" i="12"/>
  <c r="Q7" i="12"/>
  <c r="Q6" i="12"/>
  <c r="F24" i="11"/>
  <c r="G6" i="7"/>
  <c r="C12" i="3" l="1"/>
  <c r="C20" i="11"/>
  <c r="C18" i="11" s="1"/>
  <c r="C24" i="11"/>
  <c r="C19" i="11"/>
  <c r="C25" i="11"/>
  <c r="B5" i="15"/>
  <c r="B6" i="15" s="1"/>
  <c r="B7" i="15"/>
  <c r="C17" i="4"/>
  <c r="C10" i="4"/>
  <c r="C11" i="4" s="1"/>
  <c r="D20" i="11"/>
  <c r="D18" i="11" s="1"/>
  <c r="D24" i="11" s="1"/>
  <c r="D19" i="11"/>
  <c r="C3" i="11"/>
  <c r="C12" i="4"/>
  <c r="C13" i="4" s="1"/>
  <c r="I19" i="14"/>
  <c r="C11" i="3"/>
  <c r="G15" i="11"/>
  <c r="B8" i="15"/>
  <c r="I20" i="14" l="1"/>
  <c r="I45" i="14"/>
  <c r="C7" i="11" s="1"/>
  <c r="C8" i="11" s="1"/>
  <c r="C14" i="4"/>
  <c r="C6" i="10" s="1"/>
  <c r="C9" i="11"/>
  <c r="C6" i="4"/>
  <c r="C7" i="4" s="1"/>
  <c r="C16" i="4" s="1"/>
  <c r="C4" i="11"/>
  <c r="C28" i="11"/>
  <c r="D7" i="8" s="1"/>
  <c r="H59" i="14" s="1"/>
  <c r="C18" i="4" l="1"/>
  <c r="C15" i="4" s="1"/>
  <c r="C20" i="4"/>
  <c r="C7" i="10" s="1"/>
  <c r="C12" i="11"/>
  <c r="G16" i="11" s="1"/>
  <c r="H16" i="11" s="1"/>
  <c r="C10" i="11"/>
  <c r="C11" i="11" s="1"/>
  <c r="C26" i="11"/>
  <c r="C27" i="11" s="1"/>
  <c r="C13" i="10" l="1"/>
  <c r="I34" i="14"/>
  <c r="C9" i="10"/>
  <c r="C29" i="11"/>
  <c r="C7" i="8"/>
  <c r="C4" i="10"/>
  <c r="C5" i="10"/>
  <c r="C10" i="10" l="1"/>
  <c r="C14" i="10" s="1"/>
  <c r="C15" i="10" s="1"/>
  <c r="C28" i="4" s="1"/>
  <c r="C11" i="10"/>
  <c r="C6" i="8" s="1"/>
  <c r="E7" i="8"/>
  <c r="I59" i="14" s="1"/>
  <c r="G59" i="14"/>
  <c r="D28" i="4" l="1"/>
  <c r="E28" i="4" s="1"/>
  <c r="F28" i="4" s="1"/>
  <c r="G28" i="4" s="1"/>
  <c r="H28" i="4"/>
  <c r="C16" i="10" s="1"/>
  <c r="D6" i="8" s="1"/>
  <c r="C8" i="8"/>
  <c r="G60" i="14" s="1"/>
  <c r="E6" i="8"/>
  <c r="G58" i="14"/>
  <c r="I58" i="14" l="1"/>
  <c r="E8" i="8"/>
  <c r="I60" i="14" s="1"/>
  <c r="D8" i="8"/>
  <c r="H60" i="14" s="1"/>
  <c r="H58" i="14"/>
</calcChain>
</file>

<file path=xl/sharedStrings.xml><?xml version="1.0" encoding="utf-8"?>
<sst xmlns="http://schemas.openxmlformats.org/spreadsheetml/2006/main" count="757" uniqueCount="450">
  <si>
    <t xml:space="preserve">HHs having toilets with septic tanks   </t>
  </si>
  <si>
    <t>Sr.No</t>
  </si>
  <si>
    <t>Description</t>
  </si>
  <si>
    <t>Input details</t>
  </si>
  <si>
    <t>A</t>
  </si>
  <si>
    <t>B</t>
  </si>
  <si>
    <t>C</t>
  </si>
  <si>
    <t>E</t>
  </si>
  <si>
    <t>F</t>
  </si>
  <si>
    <t>G</t>
  </si>
  <si>
    <t>Total septage collected from each CT/PT</t>
  </si>
  <si>
    <t>Total Vehicles required including standby vehicles (no)</t>
  </si>
  <si>
    <t>Number of septic tanks to be cleaned daily  (no)</t>
  </si>
  <si>
    <t>Block cost for procurement of empyting truck and treatment facilities</t>
  </si>
  <si>
    <t>Cost of emptying truck (Rs per truck)</t>
  </si>
  <si>
    <t>Capital Cost for procuring empting trucks (Rs in Lakhs)</t>
  </si>
  <si>
    <t>Capital cost for septage treatment facilities (Rs in Lakhs)</t>
  </si>
  <si>
    <t>Number of HHs to be provided with Individual toilet</t>
  </si>
  <si>
    <t>Number  of working days in an year (emptying services)</t>
  </si>
  <si>
    <t>Number of HHs dependent on community toilets</t>
  </si>
  <si>
    <t>Number of community/ public toilets having septic tanks</t>
  </si>
  <si>
    <t>Output</t>
  </si>
  <si>
    <t>Information</t>
  </si>
  <si>
    <t>Total capital investment requirement for septage emptying and treatment (Rs in Lakhs)</t>
  </si>
  <si>
    <t>Septic tank cleaning cycle for Households (Years)</t>
  </si>
  <si>
    <t>Septic tank cleaning cycle for Community and public toilet  (Days)</t>
  </si>
  <si>
    <t>O &amp; M cost for emptying services</t>
  </si>
  <si>
    <t>H</t>
  </si>
  <si>
    <t>I</t>
  </si>
  <si>
    <t>D</t>
  </si>
  <si>
    <t>Year 1</t>
  </si>
  <si>
    <t>Year 2</t>
  </si>
  <si>
    <t xml:space="preserve">Year 3 </t>
  </si>
  <si>
    <t>Year 5</t>
  </si>
  <si>
    <t>TOTAL</t>
  </si>
  <si>
    <t>J</t>
  </si>
  <si>
    <t>Block cost for treatment plant</t>
  </si>
  <si>
    <t>Septage calculations</t>
  </si>
  <si>
    <t>Infrastructure requriment</t>
  </si>
  <si>
    <t>O &amp; M cost projections</t>
  </si>
  <si>
    <t>Inflation rate</t>
  </si>
  <si>
    <t>Name of City</t>
  </si>
  <si>
    <t>Information for emtpying operations</t>
  </si>
  <si>
    <t>K</t>
  </si>
  <si>
    <t>Spare treatment capacity at existing sewage treatment plant (STP) for co-treatment (cum/day)</t>
  </si>
  <si>
    <t>Population with OSS (calculated)</t>
  </si>
  <si>
    <t>O &amp; M cost for 5 Years (Rs. Lakh)</t>
  </si>
  <si>
    <t>UNITS</t>
  </si>
  <si>
    <t>cum</t>
  </si>
  <si>
    <t>Total septage generated per HHs in a year</t>
  </si>
  <si>
    <t>As per USEPA, 230 litre/year/person</t>
  </si>
  <si>
    <t>If the cleaning cycle is 3 years</t>
  </si>
  <si>
    <t>DESCRIPTION / COMMENTS</t>
  </si>
  <si>
    <t>Total septage generated after 3 years in each HHs</t>
  </si>
  <si>
    <t>no.</t>
  </si>
  <si>
    <t>cum/day</t>
  </si>
  <si>
    <t>Total Septage collected from CT/PT per day</t>
  </si>
  <si>
    <t>No.</t>
  </si>
  <si>
    <t>Number of HHs level septic tanks to be annually cleaned</t>
  </si>
  <si>
    <t>Number of HHs level septic tanks to be cleaned daily</t>
  </si>
  <si>
    <t>Year 4</t>
  </si>
  <si>
    <t>Number of Septic tanks cleaned for CT/PT on daily basis</t>
  </si>
  <si>
    <t xml:space="preserve">Total septage to be cleared </t>
  </si>
  <si>
    <t xml:space="preserve">Total HHs septage to be cleared </t>
  </si>
  <si>
    <t>Total CTs/PTs septage to be cleared</t>
  </si>
  <si>
    <t>Total septage to be cleared from floating population</t>
  </si>
  <si>
    <t>Number of emptying trucks required</t>
  </si>
  <si>
    <t>[Total HHs dependent on OSS / Cleaning Cycle for HHs]</t>
  </si>
  <si>
    <t>[No. of HH septic tanks cleaned annually / No. of working days per year for emptying services]</t>
  </si>
  <si>
    <t>[Total HH septage generated daily * septage generated after 3 years in each HH]</t>
  </si>
  <si>
    <t>[no. 5]</t>
  </si>
  <si>
    <t>[Estimated at 10% of total septage to be cleared in HHs and PT/CTs]</t>
  </si>
  <si>
    <t>Number of additional septic tanks to be covered in institutional properties</t>
  </si>
  <si>
    <t>[Estimated at 10% of total septic tanks to be covered in HHs and PT/CTs]</t>
  </si>
  <si>
    <t>[Total No. of Septic Tanks to be emptied per day / No. of trips possible per emptying vehicle per day]</t>
  </si>
  <si>
    <t>Per person, per month</t>
  </si>
  <si>
    <t>Km/Litre</t>
  </si>
  <si>
    <t>Rs./Litre</t>
  </si>
  <si>
    <t>% of truck cost</t>
  </si>
  <si>
    <t>Repairs and Maintacnce</t>
  </si>
  <si>
    <t>Staff salarly</t>
  </si>
  <si>
    <t>Fuel efficency</t>
  </si>
  <si>
    <t>Fuel cost</t>
  </si>
  <si>
    <t>Cum/Day</t>
  </si>
  <si>
    <t>[Total Septage to be treated - Existing Spare Treatment Capacity]</t>
  </si>
  <si>
    <t>[Quantum of septage to be treated daily * 2% (Year on Year Increase) ^ 5 (for 5 years) --&gt; Estimating Year 5 max. sludge treatement capacity needed</t>
  </si>
  <si>
    <t>[Covers HHs, CTs, PTs, and Institution Septic Tanks]</t>
  </si>
  <si>
    <t>Rs. Lakh</t>
  </si>
  <si>
    <t>[Total No. of vechiles needed * Cost per vehicle]</t>
  </si>
  <si>
    <t>Cost per cum</t>
  </si>
  <si>
    <t>[Per cum cost of selected treatment type * Estimated quantum of Septage to be treated in Year 5]</t>
  </si>
  <si>
    <t>[ E + F ]</t>
  </si>
  <si>
    <t>Rs. Lakh / year</t>
  </si>
  <si>
    <t>O &amp; M cost for treatment operations</t>
  </si>
  <si>
    <t>[Estimated to include staff salary, fuel effiency, fuel cost, and Repairs &amp; Maintenance]</t>
  </si>
  <si>
    <t>[Estimated at 15% of the CAPEX cost for treatment facilities]</t>
  </si>
  <si>
    <t>Total O &amp; M cost per annum (Year 1)</t>
  </si>
  <si>
    <t>[ H + I ]</t>
  </si>
  <si>
    <t>[Estimated at a year-on-year inflation rate of 7.5% per year]</t>
  </si>
  <si>
    <t>Can be taken from Census 2011, or if the city has done a detailed survey post 2011</t>
  </si>
  <si>
    <t>Flush / Pour Flush Latrine connected to Septic Tank [Census 2011]</t>
  </si>
  <si>
    <t>Pit with Slab or VIP + Pit without slab or open pit + Night Soil (disposed into open drain + Serviced by animals+serviced by humans) [Census 2011]</t>
  </si>
  <si>
    <t>Upgradation of HHs insanitary latrines to septic tank</t>
  </si>
  <si>
    <t>No Toilet, Open Defecation [Census 2011]</t>
  </si>
  <si>
    <t>No Toilet, Public Toilet [Census 2011]</t>
  </si>
  <si>
    <t>Total HHs with On-site Sanitation * 5 (no. of persons per household</t>
  </si>
  <si>
    <t>[2 + 3 + 4]</t>
  </si>
  <si>
    <t>Does not inlcude Community/public toilets</t>
  </si>
  <si>
    <t>ULB records</t>
  </si>
  <si>
    <t>Septage generation from Institutional properties (For e.g.. School, Collages, Public institution, Hotel, Hostel etc.)</t>
  </si>
  <si>
    <t>ULB Estimation (Range: 5% - 15% of total septage generated)</t>
  </si>
  <si>
    <t>Estimation (Recommended 3 years average)</t>
  </si>
  <si>
    <t>Years</t>
  </si>
  <si>
    <t>Days</t>
  </si>
  <si>
    <t>Estimation as per existing requirement / demand</t>
  </si>
  <si>
    <t>Cum</t>
  </si>
  <si>
    <t>Percentage</t>
  </si>
  <si>
    <t>Total capacity of Community/public toilet septic tank</t>
  </si>
  <si>
    <t>No. HHs</t>
  </si>
  <si>
    <t>ULB Input (Estimation of no. of working days per year)</t>
  </si>
  <si>
    <t>Trip / day / Vehicle</t>
  </si>
  <si>
    <t>Number  of trips possible per emptying vehicle per day</t>
  </si>
  <si>
    <t>Standby emptying trucks required</t>
  </si>
  <si>
    <t>Rs. Per Truck</t>
  </si>
  <si>
    <t>ULB Estimation based on local rates / SOR</t>
  </si>
  <si>
    <t>km</t>
  </si>
  <si>
    <t>ULB Estimation</t>
  </si>
  <si>
    <t>ULB Estimation (Recommended 2 to 3 people per truck)</t>
  </si>
  <si>
    <t>Average round trip length</t>
  </si>
  <si>
    <t>Number of Persons per truck</t>
  </si>
  <si>
    <t>ULB Estimation of existing functional spare treatment capacity for sewage and/or septage</t>
  </si>
  <si>
    <t>Backend calculator (Typically this sheet would be hidden from view)</t>
  </si>
  <si>
    <t>No. of HHs to be connected to soak pit after Septic Tank</t>
  </si>
  <si>
    <t>Water Supply in lpcd</t>
  </si>
  <si>
    <t>Population dependent on OSS</t>
  </si>
  <si>
    <t>Cost of combined soak pits (one soak pit for 4 septic tanks)</t>
  </si>
  <si>
    <t>Cost of small bore sewer to be connected to main trunk sewer</t>
  </si>
  <si>
    <t>No. of HHs to be connected to small bore sewer to WWTP at decentralised scale</t>
  </si>
  <si>
    <t xml:space="preserve">Cost of Small bore sewer to be connected to WWTP </t>
  </si>
  <si>
    <t>O &amp; M of small bore sewers for 5 years</t>
  </si>
  <si>
    <t>Total Waste water to be treated at WWTPs at decentralised scale in KLD</t>
  </si>
  <si>
    <t>Proposed capacity of Decentralised systems with reuse (50 - 1000 KLD) 
Select type and capacity of systems</t>
  </si>
  <si>
    <t>No. of units</t>
  </si>
  <si>
    <t>Total capacity of treatment plants</t>
  </si>
  <si>
    <t>Cost of units</t>
  </si>
  <si>
    <t>Staff salary</t>
  </si>
  <si>
    <t>Total Cost of treatment plants including O &amp; M</t>
  </si>
  <si>
    <t>Gross Total for liquid component of the city</t>
  </si>
  <si>
    <t>Rapid Assessment tool for Feacal Sludge &amp; Septage Management</t>
  </si>
  <si>
    <t>What would you like to generate costs for?</t>
  </si>
  <si>
    <t>A. Cost only for Septage Management</t>
  </si>
  <si>
    <t>(select an option from the list in the cell above)</t>
  </si>
  <si>
    <t>C. Cost for both Septage and Liquid Waste Management</t>
  </si>
  <si>
    <t>B. Cost only for Liquid Waste Management</t>
  </si>
  <si>
    <t>(Rs. Lakh)</t>
  </si>
  <si>
    <t>CONSOLIDATED COSTS OF FAECAL SLUDGE &amp; SEPTAGE MANAGEMENT</t>
  </si>
  <si>
    <t>S. NO.</t>
  </si>
  <si>
    <t>COMPONENT</t>
  </si>
  <si>
    <t>CAPEX</t>
  </si>
  <si>
    <t>OPEX</t>
  </si>
  <si>
    <t>Faecal Sludge Management</t>
  </si>
  <si>
    <t>Liquid Waste Management</t>
  </si>
  <si>
    <t>FSSM Management</t>
  </si>
  <si>
    <t xml:space="preserve">Information on existing facilities </t>
  </si>
  <si>
    <t>No. of Existing Trucks</t>
  </si>
  <si>
    <t>Existing number of existing functional emptying trucks available to the ULB</t>
  </si>
  <si>
    <t>Infrastructure and Investment requirement calculator for 
Feacal Sludge &amp; Septage Management</t>
  </si>
  <si>
    <t>[No. of Required Vehicles + Standby Emptying Trucks required - Existing Functional Trucks available to the ULB]</t>
  </si>
  <si>
    <t>Calculation for liquid component (effluent + grey water)</t>
  </si>
  <si>
    <t>No. of HH dependent on OSS</t>
  </si>
  <si>
    <t>Total CAPEX Cost of Treatment plants</t>
  </si>
  <si>
    <t>Total CAPEX (-Treatment Plants)</t>
  </si>
  <si>
    <t>Total CAPEX</t>
  </si>
  <si>
    <t>Total OPEX Cost</t>
  </si>
  <si>
    <t>Capital Investment required</t>
  </si>
  <si>
    <t>O &amp; M cost required</t>
  </si>
  <si>
    <t>ULB Estimation based on septic tanks not connected to soakpits</t>
  </si>
  <si>
    <t>Automatically taken from INPUT SHEET</t>
  </si>
  <si>
    <t>[Estimated @ INR 7,500 per Soak Pit]</t>
  </si>
  <si>
    <t>[Estimated @ INR 4,500 per unit]</t>
  </si>
  <si>
    <t>[ 2+ 4+ 6]</t>
  </si>
  <si>
    <t>KLD</t>
  </si>
  <si>
    <t>Electro mechanical
(500-1000 KLD)</t>
  </si>
  <si>
    <t>Constructed Wetland
(100-1000 KLD)</t>
  </si>
  <si>
    <t>Soil Bio Technology
(100-1000 KLD)</t>
  </si>
  <si>
    <t>Phytorid/
DWWTs
(50-1000 KLD)</t>
  </si>
  <si>
    <t>Septage collected from CTs/PTs per day</t>
  </si>
  <si>
    <t>[No. of CTs &amp; PTs with Septic Tanks / (300/365)* Cleaning cycle in days]</t>
  </si>
  <si>
    <t>[No of CT Septic Tanks to be emptied in a day*Average Volume of CT septic tank]</t>
  </si>
  <si>
    <t>8a</t>
  </si>
  <si>
    <t>8b</t>
  </si>
  <si>
    <t>8c</t>
  </si>
  <si>
    <t>(8a + 8b + 8c)</t>
  </si>
  <si>
    <t>Total number of households</t>
  </si>
  <si>
    <t>Number of households having latrine facility within the premises</t>
  </si>
  <si>
    <t>Type of latrine facility within the premises</t>
  </si>
  <si>
    <t>Number of households not having latrine facility within the premises</t>
  </si>
  <si>
    <t>No latrine within premises</t>
  </si>
  <si>
    <t>Remark</t>
  </si>
  <si>
    <t>Sl. No.</t>
  </si>
  <si>
    <t>State</t>
  </si>
  <si>
    <t>City</t>
  </si>
  <si>
    <t>Scheme</t>
  </si>
  <si>
    <t>Assigned Agency</t>
  </si>
  <si>
    <t>Population</t>
  </si>
  <si>
    <t>Flush/pour flush latrine connected to</t>
  </si>
  <si>
    <t>Pit latrine</t>
  </si>
  <si>
    <t xml:space="preserve">Night soil disposed into open drain
</t>
  </si>
  <si>
    <t>Service Latrine</t>
  </si>
  <si>
    <t>Alternative source</t>
  </si>
  <si>
    <t>Piped sewer system</t>
  </si>
  <si>
    <t>Septic tank</t>
  </si>
  <si>
    <t>Other system</t>
  </si>
  <si>
    <t>With slab/
ventilated improved pit</t>
  </si>
  <si>
    <t>Without slab/  open pit</t>
  </si>
  <si>
    <t>Night soil removed by human</t>
  </si>
  <si>
    <t>Night soil serviced by animal</t>
  </si>
  <si>
    <t>Public latrine</t>
  </si>
  <si>
    <t>Open</t>
  </si>
  <si>
    <t>A&amp;N Island</t>
  </si>
  <si>
    <t>Port Blair</t>
  </si>
  <si>
    <t>SMART City</t>
  </si>
  <si>
    <t>Andhra Pradesh</t>
  </si>
  <si>
    <t>Kakinada</t>
  </si>
  <si>
    <t>Tirupathi</t>
  </si>
  <si>
    <t>Visakhapatnam</t>
  </si>
  <si>
    <t>Arunachal Pradesh</t>
  </si>
  <si>
    <t>Pasighat</t>
  </si>
  <si>
    <t>Assam</t>
  </si>
  <si>
    <t>Guwahati</t>
  </si>
  <si>
    <t>Area may be increased after census 2011</t>
  </si>
  <si>
    <t>Bihar</t>
  </si>
  <si>
    <t>Bhagalpur</t>
  </si>
  <si>
    <t>NIUA</t>
  </si>
  <si>
    <t>Biharsharif</t>
  </si>
  <si>
    <t>Muzaffarpur</t>
  </si>
  <si>
    <t>CSE</t>
  </si>
  <si>
    <t>Chandigarh</t>
  </si>
  <si>
    <t>Chhattisgarh</t>
  </si>
  <si>
    <t>Bilaspur</t>
  </si>
  <si>
    <t>Raipur</t>
  </si>
  <si>
    <t>Dadra and Nagar Haveli</t>
  </si>
  <si>
    <t>Silvassa</t>
  </si>
  <si>
    <t>Daman and Diu</t>
  </si>
  <si>
    <t>Diu</t>
  </si>
  <si>
    <t>Delhi</t>
  </si>
  <si>
    <t>New Delhi</t>
  </si>
  <si>
    <t>Goa</t>
  </si>
  <si>
    <t>Panaji</t>
  </si>
  <si>
    <t>Gujarat</t>
  </si>
  <si>
    <t>Ahmedabad</t>
  </si>
  <si>
    <t>Dahod</t>
  </si>
  <si>
    <t>Gandhinagar</t>
  </si>
  <si>
    <t>Rajkot</t>
  </si>
  <si>
    <t>Surat</t>
  </si>
  <si>
    <t>Vadodara</t>
  </si>
  <si>
    <t>Haryana</t>
  </si>
  <si>
    <t>Faridabad</t>
  </si>
  <si>
    <t>Karnal</t>
  </si>
  <si>
    <t>Himachal Pradesh</t>
  </si>
  <si>
    <t>Dharamshala</t>
  </si>
  <si>
    <t>Jharkhand</t>
  </si>
  <si>
    <t>Ranchi</t>
  </si>
  <si>
    <t>Karnataka</t>
  </si>
  <si>
    <t>Belagavi</t>
  </si>
  <si>
    <t>Davangere</t>
  </si>
  <si>
    <t>Hubli, Dharwad</t>
  </si>
  <si>
    <t>Mangalore</t>
  </si>
  <si>
    <t>Shimoga</t>
  </si>
  <si>
    <t>Tumkur</t>
  </si>
  <si>
    <t>Kerala</t>
  </si>
  <si>
    <t>Kochi</t>
  </si>
  <si>
    <t>Lakshadweep</t>
  </si>
  <si>
    <t>Kavaratti</t>
  </si>
  <si>
    <t>Madhya Pradesh</t>
  </si>
  <si>
    <t>Bhopal</t>
  </si>
  <si>
    <t>Gwalior</t>
  </si>
  <si>
    <t>Indore</t>
  </si>
  <si>
    <t>Jabalpur</t>
  </si>
  <si>
    <t>Sagar</t>
  </si>
  <si>
    <t>Satna</t>
  </si>
  <si>
    <t>Ujjain</t>
  </si>
  <si>
    <t>Maharashtra</t>
  </si>
  <si>
    <t>Amravati</t>
  </si>
  <si>
    <t>Aurangabad</t>
  </si>
  <si>
    <t>Greater Mumbai</t>
  </si>
  <si>
    <t>KalyanDombivli</t>
  </si>
  <si>
    <t>Nagpur</t>
  </si>
  <si>
    <t>Nashik</t>
  </si>
  <si>
    <t>Navi Mumbai</t>
  </si>
  <si>
    <t>Pune</t>
  </si>
  <si>
    <t>Solapur</t>
  </si>
  <si>
    <t>Thane</t>
  </si>
  <si>
    <t>Manipur</t>
  </si>
  <si>
    <t>Imphal</t>
  </si>
  <si>
    <t>Meghalaya</t>
  </si>
  <si>
    <t>Shillong</t>
  </si>
  <si>
    <t>Mizoram</t>
  </si>
  <si>
    <t>Aizwal</t>
  </si>
  <si>
    <t>Nagaland</t>
  </si>
  <si>
    <t>Kohima</t>
  </si>
  <si>
    <t>Odisha</t>
  </si>
  <si>
    <t>Bhubaneswar</t>
  </si>
  <si>
    <t>Rourkela</t>
  </si>
  <si>
    <t>Puducherry</t>
  </si>
  <si>
    <t>Oulgaret</t>
  </si>
  <si>
    <t>Punjab</t>
  </si>
  <si>
    <t>Amritsar</t>
  </si>
  <si>
    <t>Jalandhar</t>
  </si>
  <si>
    <t>Ludhiana</t>
  </si>
  <si>
    <t>Rajasthan</t>
  </si>
  <si>
    <t>Ajmer</t>
  </si>
  <si>
    <t>Jaipur</t>
  </si>
  <si>
    <t>Kota</t>
  </si>
  <si>
    <t>Udaipur</t>
  </si>
  <si>
    <t>Sikkim</t>
  </si>
  <si>
    <t>Namchi</t>
  </si>
  <si>
    <t>Tamil Nadu</t>
  </si>
  <si>
    <t>Chennai</t>
  </si>
  <si>
    <t>Coimbatore</t>
  </si>
  <si>
    <t>Dindigul</t>
  </si>
  <si>
    <t>Erode</t>
  </si>
  <si>
    <t>Madurai</t>
  </si>
  <si>
    <t>Salem</t>
  </si>
  <si>
    <t>Thanjavur</t>
  </si>
  <si>
    <t>Thoothukudi</t>
  </si>
  <si>
    <t>Tiruchirapalli</t>
  </si>
  <si>
    <t>Tirunelveli</t>
  </si>
  <si>
    <t>Tiruppur</t>
  </si>
  <si>
    <t>Vellore</t>
  </si>
  <si>
    <t>Telanagana</t>
  </si>
  <si>
    <t>Karimnagar</t>
  </si>
  <si>
    <t>Warangal</t>
  </si>
  <si>
    <t>Tripura</t>
  </si>
  <si>
    <t>Agartala</t>
  </si>
  <si>
    <t>Uttar Pradesh</t>
  </si>
  <si>
    <t>Agra</t>
  </si>
  <si>
    <t>Aligarh</t>
  </si>
  <si>
    <t>Allahabad</t>
  </si>
  <si>
    <t>Bareilly</t>
  </si>
  <si>
    <t>Ghaziabad</t>
  </si>
  <si>
    <t>Jhansi</t>
  </si>
  <si>
    <t>Kanpur</t>
  </si>
  <si>
    <t>Lucknow</t>
  </si>
  <si>
    <t>Moradabad</t>
  </si>
  <si>
    <t>Rampur</t>
  </si>
  <si>
    <t>Saharanpur</t>
  </si>
  <si>
    <t>Varanasi</t>
  </si>
  <si>
    <t>Uttarakhand</t>
  </si>
  <si>
    <t>Dehradun</t>
  </si>
  <si>
    <t>West Bengal</t>
  </si>
  <si>
    <t>Bidhannagar</t>
  </si>
  <si>
    <t>Durgapur</t>
  </si>
  <si>
    <t>Haldia</t>
  </si>
  <si>
    <t>New Town Kolkata</t>
  </si>
  <si>
    <t>Gudur</t>
  </si>
  <si>
    <t>CSE/NIUA City</t>
  </si>
  <si>
    <t>Proddatur</t>
  </si>
  <si>
    <t>Srikakulam</t>
  </si>
  <si>
    <t>Buxar</t>
  </si>
  <si>
    <t>Gaya</t>
  </si>
  <si>
    <t>Hajipur</t>
  </si>
  <si>
    <t>Katihar</t>
  </si>
  <si>
    <t>Dewas</t>
  </si>
  <si>
    <t>Cuttack</t>
  </si>
  <si>
    <t>Bikaner</t>
  </si>
  <si>
    <t>Bijnore</t>
  </si>
  <si>
    <t>Chunar</t>
  </si>
  <si>
    <t>Ganga Ghat</t>
  </si>
  <si>
    <t>Ghazipur</t>
  </si>
  <si>
    <t>Ramnagar</t>
  </si>
  <si>
    <t>Unnao</t>
  </si>
  <si>
    <t>Rishikesh</t>
  </si>
  <si>
    <t>Bansberia</t>
  </si>
  <si>
    <t>Bongaon</t>
  </si>
  <si>
    <t>Darjeeling</t>
  </si>
  <si>
    <t>Information not available</t>
  </si>
  <si>
    <t>Insanitary toilets</t>
  </si>
  <si>
    <t>Number of Household</t>
  </si>
  <si>
    <t>Total households with in-house on-site sanitation systems (HHs) (calculated) - Excluding CTs &amp; PTs</t>
  </si>
  <si>
    <t>Treatment plant based on CPHEEO Estimates of Kohima FSTP</t>
  </si>
  <si>
    <t>As per the Census 2011 the number of households dependent on on-site sanitation system in the city is:</t>
  </si>
  <si>
    <t>Total spare/additional capacity available at the city’s Sewage Treatment Plant in cum is:</t>
  </si>
  <si>
    <t>Number of Faecal sludge/septage collection trucks available with the city at present is:</t>
  </si>
  <si>
    <t>Number of days in a year the desludging services to be made available:</t>
  </si>
  <si>
    <t>The proposed number of vaccuum trucks to be procured by the city is:</t>
  </si>
  <si>
    <t>The estimated total capital investment requirement for septage emptying and treatment (Rs in Lakhs) is:</t>
  </si>
  <si>
    <t>Rapid Financial Estimate for FSSM Infrastructure for the city of</t>
  </si>
  <si>
    <t>The following basic information on the type of latrines and city infrastructure is used to estimate the additional infrastructure requirements at the city for implementing comprehensive citywide faecal sludge management.</t>
  </si>
  <si>
    <t>I. CITY INFRASTRUCTURE PROFILE</t>
  </si>
  <si>
    <t>BACKGROUND &amp; OBJECTIVE</t>
  </si>
  <si>
    <t xml:space="preserve">As per the City records, the number of community toliets/public toilets in the city connected to a septic tanks is: </t>
  </si>
  <si>
    <t>II CITY PROPOSALS FOR FSSM IMPLEMENTATION</t>
  </si>
  <si>
    <t>As part of implementing citywide FSSM, the city proposes to undertake the following cycle of septic cleaning and desludging operations</t>
  </si>
  <si>
    <t>Cleaning cycle for household septic tanks in years:</t>
  </si>
  <si>
    <t>Cleaning cycle for Public Toilets (PTs) /Community Toilets (CTs) septic tanks in days:</t>
  </si>
  <si>
    <t>III CITY INFRASTRUCTURE REQUIREMENT ESTIMATES</t>
  </si>
  <si>
    <t>The proposed capacity of the faecal sludge treatment plant to be set up in the city is</t>
  </si>
  <si>
    <t>No</t>
  </si>
  <si>
    <t>Estimated at one additional truck on standby</t>
  </si>
  <si>
    <t>contd.</t>
  </si>
  <si>
    <t>IV CITY PROPOSAL FOR LIQUID WASTE MANAGEMENT (LWM)</t>
  </si>
  <si>
    <t>Average household water supply in LPCD</t>
  </si>
  <si>
    <t>Number of Households to be connected to soak pits after septic tanks (ULB estimates based on septic tanks not connected to soakpits)</t>
  </si>
  <si>
    <t>Number of Households to be connected by small bore sewer to main trunk sewer (ULB Estimation)</t>
  </si>
  <si>
    <t>No. of HHs to be connected by small bore sewer to main trunk sewer</t>
  </si>
  <si>
    <t>Proposed capacity of Decentralised systems with reuse (50 - 1000 KLD) for the following select type and capacity of systems</t>
  </si>
  <si>
    <t>Electro mechanical (500 - 1,000 KLD)</t>
  </si>
  <si>
    <t>Constructed Wetland (100-1,000 KLD)</t>
  </si>
  <si>
    <t>Soil Bio-technology (100-1,000 KLD)</t>
  </si>
  <si>
    <t>Phytorid DWWTs (50-1,000 KLD)</t>
  </si>
  <si>
    <t>No. of Units</t>
  </si>
  <si>
    <t>Total Capacity</t>
  </si>
  <si>
    <t>Total</t>
  </si>
  <si>
    <t>V CITY CAPEX AND OPEX ESTIMATES</t>
  </si>
  <si>
    <t>#</t>
  </si>
  <si>
    <t>FSSM TOTAL</t>
  </si>
  <si>
    <t xml:space="preserve">The calculations used to arrive at the estimates can be found in the annexure to this document. </t>
  </si>
  <si>
    <t xml:space="preserve">This propsal has been prepared under the guidance provided by the Ministry of Urban Development, Government of India's </t>
  </si>
  <si>
    <t>rapid assessment tool for Financial Estimates for FSSM for the city of</t>
  </si>
  <si>
    <t>The summaries of capital expenditure (CAPEX) estimates and operations &amp; maintenance expenditure (OPEX) for FSSM is given below. For details please see annexure</t>
  </si>
  <si>
    <t>Quantum of septage to be treated daily in a new F/STP</t>
  </si>
  <si>
    <t>Estimated quantum of septage to be treated in Year 5 in the new F/STP</t>
  </si>
  <si>
    <t>Submitted on:</t>
  </si>
  <si>
    <t>The Government of India has launched the Swacchh Bharat Mission on October 2nd 2014 with the primary aim of eliminating open defecation across the country. The Ministry of Urban Development (MoUD), who is the coordinating Ministry for the Mission in urban areas realises the importance of safe collection and treatment of faecal waste along with ensuring access to latrines. The ministry aims to support 131 designated cities in India to implement citywide faecal sludge management. These cities are expected to be the torchbearrs of FSM in the country. This report is an estimate the financial requirements of the city to put in place the necessary infrastructure for faecal sludge management. It is expected that the city make use of existing infrastructure by exploring co-treament of faecl sludge/septage at the sewage treatment plant and make use of existing vaccuum trucks for transport of faecal sludge/septage if such infrastructure is available at the city.</t>
  </si>
  <si>
    <t>The projected population for 2016 is:</t>
  </si>
  <si>
    <t>A. OPEX for 3 years</t>
  </si>
  <si>
    <t>B. OPEX for 5 years</t>
  </si>
  <si>
    <t>For what period would you like to generate OPEX costs?</t>
  </si>
  <si>
    <t>O&amp;M for 3 years</t>
  </si>
  <si>
    <t>O&amp;M for 5 years</t>
  </si>
  <si>
    <t>a</t>
  </si>
  <si>
    <t>b</t>
  </si>
  <si>
    <t xml:space="preserve">O &amp; M </t>
  </si>
  <si>
    <t>Staff salary for 3 years</t>
  </si>
  <si>
    <t>Staff salary for 5 years</t>
  </si>
  <si>
    <t>3 years</t>
  </si>
  <si>
    <t>5 years</t>
  </si>
  <si>
    <t>y5</t>
  </si>
  <si>
    <t>y4</t>
  </si>
  <si>
    <t>y3</t>
  </si>
  <si>
    <t>y2</t>
  </si>
  <si>
    <t>y1</t>
  </si>
  <si>
    <t>% Increase year on year</t>
  </si>
  <si>
    <t>The tool has been designed by MoUD to help cities in assessing the cost estimates for Faecal Sludge Mangement. Census data of 100 smart cities and 31 AMRUT Cities is built in to the tool. The Ministry aims to support 131 designated cities in India to implement citywide faecal sludge management. These cities are expected to be the torch bearrs of FSM in the country.</t>
  </si>
  <si>
    <t>How to use the Rapid Assessment Tool</t>
  </si>
  <si>
    <t>Start with the First Input Sheet “Options. There is a drop down menue in the excell sheet. Choose from the 3 options listed under A : “what infrastructure cost estimitates you wish to generate”. Then choose B: “what period of OPEX costs” from from 2 options – 3 or 5 years Operational Costs.</t>
  </si>
  <si>
    <t>Go to the second excel sheet title RFE. Enter the name of the Smart City, choose from the drop down menu of 100 smart cities and 31 Amrut cities that is already input into the tool. Please note that the tool only has data for these cities. If you choose a city other than these, the tool will not generate financial estimates. Please enter data for all cells that are unlocked and are not in grey colour.</t>
  </si>
  <si>
    <t>Go to the thid excel sheet " 02- FSSM A " regarding the current FSM situation like no. of public toilets, their capacity, number of trucks owned by city for emptying of septic tanks, desludging cycle of both individual and public toilets etc. The input data rows are highlighted in blue colour. Please enter data for all cells that are unlocked and are not in grey colour. On successful filling of the data, the tool will automatically estimate the financial requirements of the city to put in place the necessary infrastructure for faecal sludge management which will be shown in the tab " RFE ". The details of the Capital cost and Operation and Maintenance cost estimates for both Faecal Sludge Treatment Plant and Waste Water Treatment Plant can be seen in Tab "03-FSSM B" and "04-LWM"respectively.</t>
  </si>
  <si>
    <t>States and Cities are advised to use this Tool for generating quick finacnial assessments only. This is only a planning tool and should not be used for any other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</si>
</sst>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 #,##0_ ;_ * \-#,##0_ ;_ * &quot;-&quot;??_ ;_ @_ "/>
  </numFmts>
  <fonts count="3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rgb="FF000000"/>
      <name val="Calibri"/>
      <family val="2"/>
      <scheme val="minor"/>
    </font>
    <font>
      <b/>
      <sz val="11"/>
      <color rgb="FF000000"/>
      <name val="Calibri"/>
      <family val="2"/>
      <scheme val="minor"/>
    </font>
    <font>
      <sz val="11"/>
      <color theme="1"/>
      <name val="Calibri"/>
      <family val="2"/>
      <scheme val="minor"/>
    </font>
    <font>
      <b/>
      <sz val="14"/>
      <color rgb="FF000000"/>
      <name val="Calibri"/>
      <family val="2"/>
      <scheme val="minor"/>
    </font>
    <font>
      <b/>
      <sz val="16"/>
      <color rgb="FF000000"/>
      <name val="Calibri"/>
      <family val="2"/>
      <scheme val="minor"/>
    </font>
    <font>
      <b/>
      <sz val="18"/>
      <color rgb="FF000000"/>
      <name val="Calibri"/>
      <family val="2"/>
      <scheme val="minor"/>
    </font>
    <font>
      <sz val="11"/>
      <color theme="0"/>
      <name val="Calibri"/>
      <family val="2"/>
      <scheme val="minor"/>
    </font>
    <font>
      <b/>
      <sz val="12"/>
      <color rgb="FF000000"/>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b/>
      <sz val="11"/>
      <name val="Calibri"/>
      <family val="2"/>
      <scheme val="minor"/>
    </font>
    <font>
      <sz val="11"/>
      <name val="Calibri"/>
      <family val="2"/>
      <scheme val="minor"/>
    </font>
    <font>
      <sz val="12"/>
      <color theme="0"/>
      <name val="Calibri"/>
      <family val="2"/>
      <scheme val="minor"/>
    </font>
    <font>
      <b/>
      <sz val="12"/>
      <color rgb="FFFF0000"/>
      <name val="Calibri"/>
      <family val="2"/>
      <scheme val="minor"/>
    </font>
    <font>
      <sz val="11"/>
      <color theme="0" tint="-0.499984740745262"/>
      <name val="Calibri"/>
      <family val="2"/>
      <scheme val="minor"/>
    </font>
    <font>
      <b/>
      <sz val="9"/>
      <color theme="1"/>
      <name val="Calibri"/>
      <family val="2"/>
      <scheme val="minor"/>
    </font>
    <font>
      <sz val="9"/>
      <color theme="1"/>
      <name val="Calibri"/>
      <family val="2"/>
      <scheme val="minor"/>
    </font>
    <font>
      <sz val="9"/>
      <name val="Calibri"/>
      <family val="2"/>
      <scheme val="minor"/>
    </font>
    <font>
      <b/>
      <sz val="11"/>
      <color rgb="FFFF0000"/>
      <name val="Calibri"/>
      <family val="2"/>
      <scheme val="minor"/>
    </font>
    <font>
      <b/>
      <sz val="14"/>
      <color rgb="FFFF0000"/>
      <name val="Calibri"/>
      <family val="2"/>
      <scheme val="minor"/>
    </font>
    <font>
      <b/>
      <sz val="22"/>
      <color theme="1"/>
      <name val="Cambria"/>
      <family val="1"/>
      <scheme val="major"/>
    </font>
    <font>
      <sz val="8"/>
      <name val="Calibri"/>
      <family val="2"/>
      <scheme val="minor"/>
    </font>
    <font>
      <i/>
      <sz val="12"/>
      <color theme="1"/>
      <name val="Calibri"/>
      <family val="2"/>
      <scheme val="minor"/>
    </font>
    <font>
      <b/>
      <sz val="14"/>
      <color theme="1"/>
      <name val="Cambria"/>
      <family val="1"/>
      <scheme val="major"/>
    </font>
    <font>
      <b/>
      <i/>
      <sz val="12"/>
      <color theme="1"/>
      <name val="Calibri"/>
      <family val="2"/>
      <scheme val="minor"/>
    </font>
    <font>
      <sz val="11"/>
      <color theme="0" tint="-0.249977111117893"/>
      <name val="Calibri"/>
      <family val="2"/>
      <scheme val="minor"/>
    </font>
    <font>
      <sz val="14"/>
      <color rgb="FF333333"/>
      <name val="Arial"/>
      <family val="2"/>
    </font>
    <font>
      <b/>
      <sz val="14"/>
      <color rgb="FF333333"/>
      <name val="Arial"/>
      <family val="2"/>
    </font>
  </fonts>
  <fills count="17">
    <fill>
      <patternFill patternType="none"/>
    </fill>
    <fill>
      <patternFill patternType="gray125"/>
    </fill>
    <fill>
      <patternFill patternType="solid">
        <fgColor rgb="FFDCE6F1"/>
        <bgColor indexed="64"/>
      </patternFill>
    </fill>
    <fill>
      <patternFill patternType="solid">
        <fgColor rgb="FFD8E4BC"/>
        <bgColor indexed="64"/>
      </patternFill>
    </fill>
    <fill>
      <patternFill patternType="solid">
        <fgColor rgb="FFDDD9C4"/>
        <bgColor indexed="64"/>
      </patternFill>
    </fill>
    <fill>
      <patternFill patternType="solid">
        <fgColor rgb="FFDDEEF6"/>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bgColor indexed="64"/>
      </patternFill>
    </fill>
    <fill>
      <patternFill patternType="solid">
        <fgColor rgb="FFD0E3EE"/>
        <bgColor indexed="64"/>
      </patternFill>
    </fill>
    <fill>
      <patternFill patternType="solid">
        <fgColor theme="0" tint="-0.499984740745262"/>
        <bgColor indexed="64"/>
      </patternFill>
    </fill>
    <fill>
      <patternFill patternType="solid">
        <fgColor rgb="FFFFC000"/>
        <bgColor indexed="64"/>
      </patternFill>
    </fill>
    <fill>
      <patternFill patternType="solid">
        <fgColor theme="2" tint="-0.249977111117893"/>
        <bgColor indexed="64"/>
      </patternFill>
    </fill>
    <fill>
      <patternFill patternType="solid">
        <fgColor theme="0" tint="-4.9989318521683403E-2"/>
        <bgColor indexed="64"/>
      </patternFill>
    </fill>
  </fills>
  <borders count="4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medium">
        <color rgb="FFFF0000"/>
      </left>
      <right style="medium">
        <color rgb="FFFF0000"/>
      </right>
      <top style="medium">
        <color rgb="FFFF0000"/>
      </top>
      <bottom style="medium">
        <color rgb="FFFF0000"/>
      </bottom>
      <diagonal/>
    </border>
    <border>
      <left style="thin">
        <color theme="0" tint="-0.1499984740745262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medium">
        <color auto="1"/>
      </bottom>
      <diagonal/>
    </border>
    <border>
      <left style="thin">
        <color theme="1"/>
      </left>
      <right style="medium">
        <color auto="1"/>
      </right>
      <top style="medium">
        <color auto="1"/>
      </top>
      <bottom style="medium">
        <color auto="1"/>
      </bottom>
      <diagonal/>
    </border>
    <border>
      <left style="thin">
        <color theme="1"/>
      </left>
      <right style="medium">
        <color theme="1"/>
      </right>
      <top/>
      <bottom style="medium">
        <color auto="1"/>
      </bottom>
      <diagonal/>
    </border>
    <border>
      <left/>
      <right/>
      <top style="medium">
        <color auto="1"/>
      </top>
      <bottom style="medium">
        <color auto="1"/>
      </bottom>
      <diagonal/>
    </border>
    <border>
      <left style="thin">
        <color theme="1"/>
      </left>
      <right style="thin">
        <color theme="1"/>
      </right>
      <top style="thin">
        <color theme="1"/>
      </top>
      <bottom style="thin">
        <color theme="1"/>
      </bottom>
      <diagonal/>
    </border>
    <border>
      <left style="thin">
        <color theme="1"/>
      </left>
      <right style="medium">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medium">
        <color theme="1"/>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s>
  <cellStyleXfs count="33">
    <xf numFmtId="0" fontId="0" fillId="0" borderId="0"/>
    <xf numFmtId="43" fontId="7" fillId="0" borderId="0" applyFont="0" applyFill="0" applyBorder="0" applyAlignment="0" applyProtection="0"/>
    <xf numFmtId="9" fontId="7"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4" fontId="7"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 fillId="0" borderId="0"/>
    <xf numFmtId="44" fontId="4" fillId="0" borderId="0" applyFont="0" applyFill="0" applyBorder="0" applyAlignment="0" applyProtection="0"/>
    <xf numFmtId="0" fontId="1" fillId="0" borderId="0"/>
  </cellStyleXfs>
  <cellXfs count="249">
    <xf numFmtId="0" fontId="0" fillId="0" borderId="0" xfId="0"/>
    <xf numFmtId="0" fontId="0" fillId="0" borderId="0" xfId="0" applyAlignment="1">
      <alignment vertical="center"/>
    </xf>
    <xf numFmtId="9" fontId="0" fillId="0" borderId="0" xfId="2" applyFont="1" applyAlignment="1">
      <alignment vertical="center"/>
    </xf>
    <xf numFmtId="0" fontId="13" fillId="0" borderId="0" xfId="0" applyFont="1" applyAlignment="1">
      <alignment vertical="center"/>
    </xf>
    <xf numFmtId="0" fontId="17" fillId="0" borderId="0" xfId="0" applyFont="1" applyAlignment="1">
      <alignment vertical="center"/>
    </xf>
    <xf numFmtId="0" fontId="0" fillId="0" borderId="0" xfId="0" applyProtection="1"/>
    <xf numFmtId="0" fontId="13" fillId="0" borderId="0" xfId="0" applyFont="1" applyAlignment="1" applyProtection="1">
      <alignment vertical="center"/>
    </xf>
    <xf numFmtId="0" fontId="5" fillId="9" borderId="1" xfId="0" applyFont="1" applyFill="1" applyBorder="1" applyAlignment="1" applyProtection="1">
      <alignment horizontal="center" vertical="center" wrapText="1" readingOrder="1"/>
    </xf>
    <xf numFmtId="0" fontId="12" fillId="0" borderId="1" xfId="0" applyFont="1" applyBorder="1" applyAlignment="1" applyProtection="1">
      <alignment horizontal="center" vertical="center" wrapText="1" readingOrder="1"/>
    </xf>
    <xf numFmtId="0" fontId="12" fillId="0" borderId="1" xfId="0" applyFont="1" applyBorder="1" applyAlignment="1" applyProtection="1">
      <alignment horizontal="left" vertical="center" wrapText="1" readingOrder="1"/>
    </xf>
    <xf numFmtId="1" fontId="12" fillId="8" borderId="1" xfId="0" applyNumberFormat="1" applyFont="1" applyFill="1" applyBorder="1" applyAlignment="1" applyProtection="1">
      <alignment horizontal="center" vertical="center" wrapText="1" readingOrder="1"/>
    </xf>
    <xf numFmtId="165" fontId="12" fillId="8" borderId="1" xfId="17" applyNumberFormat="1" applyFont="1" applyFill="1" applyBorder="1" applyAlignment="1" applyProtection="1">
      <alignment horizontal="center" vertical="center" wrapText="1" readingOrder="1"/>
    </xf>
    <xf numFmtId="0" fontId="12" fillId="10" borderId="1" xfId="0" applyFont="1" applyFill="1" applyBorder="1" applyAlignment="1" applyProtection="1">
      <alignment horizontal="center" vertical="center" wrapText="1" readingOrder="1"/>
    </xf>
    <xf numFmtId="0" fontId="12" fillId="10" borderId="1" xfId="0" applyFont="1" applyFill="1" applyBorder="1" applyAlignment="1" applyProtection="1">
      <alignment horizontal="left" vertical="center" wrapText="1" readingOrder="1"/>
    </xf>
    <xf numFmtId="165" fontId="12" fillId="10" borderId="1" xfId="17" applyNumberFormat="1" applyFont="1" applyFill="1" applyBorder="1" applyAlignment="1" applyProtection="1">
      <alignment horizontal="center" vertical="center" wrapText="1" readingOrder="1"/>
    </xf>
    <xf numFmtId="0" fontId="0" fillId="0" borderId="0" xfId="0" applyAlignment="1" applyProtection="1">
      <alignment vertical="center"/>
    </xf>
    <xf numFmtId="0" fontId="0" fillId="0" borderId="1" xfId="0" applyBorder="1" applyAlignment="1" applyProtection="1">
      <alignment vertical="center"/>
    </xf>
    <xf numFmtId="0" fontId="0" fillId="0" borderId="1" xfId="0" applyBorder="1" applyAlignment="1" applyProtection="1">
      <alignment horizontal="left" vertical="center"/>
    </xf>
    <xf numFmtId="0" fontId="13" fillId="11" borderId="1" xfId="0" applyFont="1" applyFill="1" applyBorder="1" applyAlignment="1" applyProtection="1">
      <alignment vertical="center"/>
    </xf>
    <xf numFmtId="0" fontId="13" fillId="11" borderId="1" xfId="0" applyFont="1" applyFill="1" applyBorder="1" applyAlignment="1" applyProtection="1">
      <alignment horizontal="left" vertical="center"/>
    </xf>
    <xf numFmtId="0" fontId="5" fillId="0" borderId="1" xfId="0" applyFont="1" applyBorder="1" applyAlignment="1" applyProtection="1">
      <alignment horizontal="center" vertical="center" wrapText="1" readingOrder="1"/>
    </xf>
    <xf numFmtId="0" fontId="5" fillId="0" borderId="1" xfId="0" applyFont="1" applyBorder="1" applyAlignment="1" applyProtection="1">
      <alignment horizontal="left" vertical="center" wrapText="1" readingOrder="1"/>
    </xf>
    <xf numFmtId="165" fontId="5" fillId="6" borderId="1" xfId="17" applyNumberFormat="1" applyFont="1" applyFill="1" applyBorder="1" applyAlignment="1" applyProtection="1">
      <alignment vertical="center" wrapText="1" readingOrder="1"/>
    </xf>
    <xf numFmtId="0" fontId="6" fillId="11" borderId="1" xfId="0" applyFont="1" applyFill="1" applyBorder="1" applyAlignment="1" applyProtection="1">
      <alignment horizontal="center" vertical="center" wrapText="1" readingOrder="1"/>
    </xf>
    <xf numFmtId="0" fontId="6" fillId="11" borderId="1" xfId="0" applyFont="1" applyFill="1" applyBorder="1" applyAlignment="1" applyProtection="1">
      <alignment horizontal="left" vertical="center" wrapText="1" readingOrder="1"/>
    </xf>
    <xf numFmtId="164" fontId="6" fillId="11" borderId="1" xfId="1" applyNumberFormat="1" applyFont="1" applyFill="1" applyBorder="1" applyAlignment="1" applyProtection="1">
      <alignment vertical="center" wrapText="1" readingOrder="1"/>
    </xf>
    <xf numFmtId="43" fontId="5" fillId="0" borderId="1" xfId="1" applyFont="1" applyBorder="1" applyAlignment="1" applyProtection="1">
      <alignment vertical="center" wrapText="1" readingOrder="1"/>
    </xf>
    <xf numFmtId="43" fontId="7" fillId="0" borderId="1" xfId="1" applyFont="1" applyBorder="1" applyAlignment="1" applyProtection="1">
      <alignment vertical="center" wrapText="1" readingOrder="1"/>
    </xf>
    <xf numFmtId="0" fontId="17" fillId="0" borderId="1" xfId="0" applyFont="1" applyBorder="1" applyAlignment="1" applyProtection="1">
      <alignment horizontal="center" vertical="center" wrapText="1" readingOrder="1"/>
    </xf>
    <xf numFmtId="0" fontId="17" fillId="0" borderId="1" xfId="0" applyFont="1" applyBorder="1" applyAlignment="1" applyProtection="1">
      <alignment horizontal="left" vertical="center" wrapText="1" readingOrder="1"/>
    </xf>
    <xf numFmtId="43" fontId="17" fillId="0" borderId="1" xfId="1" applyFont="1" applyBorder="1" applyAlignment="1" applyProtection="1">
      <alignment vertical="center" wrapText="1" readingOrder="1"/>
    </xf>
    <xf numFmtId="0" fontId="17" fillId="0" borderId="0" xfId="0" applyFont="1" applyAlignment="1" applyProtection="1">
      <alignment vertical="center"/>
    </xf>
    <xf numFmtId="43" fontId="17" fillId="0" borderId="0" xfId="0" applyNumberFormat="1" applyFont="1" applyAlignment="1" applyProtection="1">
      <alignment vertical="center"/>
    </xf>
    <xf numFmtId="43" fontId="5" fillId="0" borderId="1" xfId="1" applyFont="1" applyFill="1" applyBorder="1" applyAlignment="1" applyProtection="1">
      <alignment vertical="center" wrapText="1" readingOrder="1"/>
    </xf>
    <xf numFmtId="0" fontId="6" fillId="0" borderId="1" xfId="0" applyFont="1" applyBorder="1" applyAlignment="1" applyProtection="1">
      <alignment horizontal="center" vertical="center" wrapText="1" readingOrder="1"/>
    </xf>
    <xf numFmtId="0" fontId="6" fillId="0" borderId="1" xfId="0" applyFont="1" applyBorder="1" applyAlignment="1" applyProtection="1">
      <alignment horizontal="left" vertical="center" wrapText="1" readingOrder="1"/>
    </xf>
    <xf numFmtId="43" fontId="6" fillId="8" borderId="1" xfId="1" applyFont="1" applyFill="1" applyBorder="1" applyAlignment="1" applyProtection="1">
      <alignment vertical="center" wrapText="1" readingOrder="1"/>
    </xf>
    <xf numFmtId="0" fontId="6" fillId="0" borderId="1" xfId="0" applyFont="1" applyBorder="1" applyAlignment="1" applyProtection="1">
      <alignment horizontal="right" vertical="center" wrapText="1" readingOrder="1"/>
    </xf>
    <xf numFmtId="43" fontId="6" fillId="0" borderId="1" xfId="1" applyFont="1" applyFill="1" applyBorder="1" applyAlignment="1" applyProtection="1">
      <alignment vertical="center" wrapText="1" readingOrder="1"/>
    </xf>
    <xf numFmtId="43" fontId="18" fillId="0" borderId="1" xfId="1" applyFont="1" applyFill="1" applyBorder="1" applyAlignment="1" applyProtection="1">
      <alignment vertical="center" wrapText="1" readingOrder="1"/>
    </xf>
    <xf numFmtId="43" fontId="5" fillId="11" borderId="1" xfId="1" applyFont="1" applyFill="1" applyBorder="1" applyAlignment="1" applyProtection="1">
      <alignment vertical="center" wrapText="1" readingOrder="1"/>
    </xf>
    <xf numFmtId="0" fontId="0" fillId="0" borderId="1" xfId="0" applyBorder="1" applyAlignment="1" applyProtection="1">
      <alignment horizontal="center" vertical="center"/>
    </xf>
    <xf numFmtId="0" fontId="5" fillId="0" borderId="1" xfId="0" applyFont="1" applyFill="1" applyBorder="1" applyAlignment="1" applyProtection="1">
      <alignment horizontal="left" vertical="center" wrapText="1" readingOrder="1"/>
    </xf>
    <xf numFmtId="44" fontId="0" fillId="0" borderId="1" xfId="17" applyFont="1" applyBorder="1" applyAlignment="1" applyProtection="1">
      <alignment horizontal="center" vertical="center"/>
    </xf>
    <xf numFmtId="9" fontId="0" fillId="0" borderId="1" xfId="2" applyFont="1" applyBorder="1" applyAlignment="1" applyProtection="1">
      <alignment horizontal="center" vertical="center"/>
    </xf>
    <xf numFmtId="9" fontId="0" fillId="0" borderId="0" xfId="2" applyFont="1" applyAlignment="1" applyProtection="1">
      <alignment vertical="center"/>
    </xf>
    <xf numFmtId="9" fontId="7" fillId="0" borderId="1" xfId="2" applyFont="1" applyBorder="1" applyAlignment="1" applyProtection="1">
      <alignment vertical="center"/>
    </xf>
    <xf numFmtId="0" fontId="13" fillId="0" borderId="1" xfId="0" applyFont="1" applyBorder="1" applyAlignment="1" applyProtection="1">
      <alignment horizontal="center" vertical="center"/>
    </xf>
    <xf numFmtId="0" fontId="6" fillId="0" borderId="1" xfId="0" applyFont="1" applyFill="1" applyBorder="1" applyAlignment="1" applyProtection="1">
      <alignment horizontal="left" vertical="center" wrapText="1" readingOrder="1"/>
    </xf>
    <xf numFmtId="165" fontId="0" fillId="0" borderId="1" xfId="17" applyNumberFormat="1" applyFont="1" applyBorder="1" applyAlignment="1" applyProtection="1">
      <alignment horizontal="center" vertical="center"/>
    </xf>
    <xf numFmtId="10" fontId="0" fillId="0" borderId="1" xfId="0" applyNumberFormat="1" applyBorder="1" applyAlignment="1" applyProtection="1">
      <alignment horizontal="center" vertical="center"/>
    </xf>
    <xf numFmtId="164" fontId="5" fillId="5" borderId="1" xfId="1" applyNumberFormat="1" applyFont="1" applyFill="1" applyBorder="1" applyAlignment="1" applyProtection="1">
      <alignment horizontal="right" vertical="center" wrapText="1" readingOrder="1"/>
      <protection locked="0"/>
    </xf>
    <xf numFmtId="9" fontId="5" fillId="5" borderId="1" xfId="2" applyFont="1" applyFill="1" applyBorder="1" applyAlignment="1" applyProtection="1">
      <alignment horizontal="right" vertical="center" wrapText="1" readingOrder="1"/>
      <protection locked="0"/>
    </xf>
    <xf numFmtId="0" fontId="0" fillId="12" borderId="1" xfId="0" applyFill="1" applyBorder="1" applyAlignment="1" applyProtection="1">
      <alignment vertical="center" wrapText="1"/>
      <protection locked="0"/>
    </xf>
    <xf numFmtId="0" fontId="6" fillId="7" borderId="1" xfId="0" applyFont="1" applyFill="1" applyBorder="1" applyAlignment="1" applyProtection="1">
      <alignment horizontal="left" vertical="center" wrapText="1" readingOrder="1"/>
      <protection locked="0"/>
    </xf>
    <xf numFmtId="0" fontId="6" fillId="7" borderId="1" xfId="0" applyFont="1" applyFill="1" applyBorder="1" applyAlignment="1" applyProtection="1">
      <alignment horizontal="left" vertical="center" wrapText="1" readingOrder="1"/>
    </xf>
    <xf numFmtId="0" fontId="4" fillId="0" borderId="0" xfId="30"/>
    <xf numFmtId="0" fontId="10" fillId="9" borderId="3" xfId="0" applyFont="1" applyFill="1" applyBorder="1" applyAlignment="1" applyProtection="1">
      <alignment vertical="center" wrapText="1" readingOrder="1"/>
    </xf>
    <xf numFmtId="0" fontId="8" fillId="9" borderId="3" xfId="0" applyFont="1" applyFill="1" applyBorder="1" applyAlignment="1" applyProtection="1">
      <alignment vertical="center" wrapText="1" readingOrder="1"/>
    </xf>
    <xf numFmtId="0" fontId="12" fillId="9" borderId="3" xfId="0" applyFont="1" applyFill="1" applyBorder="1" applyAlignment="1" applyProtection="1">
      <alignment vertical="center" wrapText="1" readingOrder="1"/>
    </xf>
    <xf numFmtId="0" fontId="9" fillId="9" borderId="2" xfId="0" applyFont="1" applyFill="1" applyBorder="1" applyAlignment="1" applyProtection="1">
      <alignment vertical="center" wrapText="1" readingOrder="1"/>
    </xf>
    <xf numFmtId="0" fontId="13" fillId="0" borderId="19" xfId="0" applyFont="1" applyBorder="1" applyAlignment="1" applyProtection="1">
      <alignment horizontal="center" vertical="center"/>
    </xf>
    <xf numFmtId="0" fontId="13" fillId="0" borderId="23" xfId="0" applyFont="1" applyBorder="1" applyAlignment="1" applyProtection="1">
      <alignment vertical="center"/>
    </xf>
    <xf numFmtId="0" fontId="13" fillId="0" borderId="20" xfId="0" applyFont="1" applyBorder="1" applyAlignment="1" applyProtection="1">
      <alignment horizontal="center" vertical="center"/>
    </xf>
    <xf numFmtId="0" fontId="13" fillId="0" borderId="21" xfId="0" applyFont="1" applyFill="1" applyBorder="1" applyAlignment="1" applyProtection="1">
      <alignment vertical="center"/>
    </xf>
    <xf numFmtId="164" fontId="11" fillId="13" borderId="15" xfId="1" applyNumberFormat="1" applyFont="1" applyFill="1" applyBorder="1" applyAlignment="1" applyProtection="1">
      <alignment vertical="center"/>
    </xf>
    <xf numFmtId="164" fontId="11" fillId="13" borderId="12" xfId="1" applyNumberFormat="1" applyFont="1" applyFill="1" applyBorder="1" applyAlignment="1" applyProtection="1">
      <alignment vertical="center"/>
    </xf>
    <xf numFmtId="165" fontId="11" fillId="13" borderId="15" xfId="17" applyNumberFormat="1" applyFont="1" applyFill="1" applyBorder="1" applyAlignment="1" applyProtection="1">
      <alignment vertical="center"/>
    </xf>
    <xf numFmtId="164" fontId="11" fillId="13" borderId="18" xfId="1" applyNumberFormat="1" applyFont="1" applyFill="1" applyBorder="1" applyAlignment="1" applyProtection="1">
      <alignment vertical="center"/>
    </xf>
    <xf numFmtId="164" fontId="0" fillId="0" borderId="27" xfId="1" applyNumberFormat="1" applyFont="1" applyBorder="1" applyAlignment="1" applyProtection="1">
      <alignment vertical="center"/>
      <protection locked="0"/>
    </xf>
    <xf numFmtId="164" fontId="0" fillId="0" borderId="30" xfId="1" applyNumberFormat="1" applyFont="1" applyBorder="1" applyAlignment="1" applyProtection="1">
      <alignment vertical="center"/>
      <protection locked="0"/>
    </xf>
    <xf numFmtId="0" fontId="13" fillId="6" borderId="20" xfId="0" applyFont="1" applyFill="1" applyBorder="1" applyAlignment="1" applyProtection="1">
      <alignment vertical="center"/>
    </xf>
    <xf numFmtId="0" fontId="13" fillId="6" borderId="26" xfId="0" applyFont="1" applyFill="1" applyBorder="1" applyAlignment="1" applyProtection="1">
      <alignment vertical="center"/>
    </xf>
    <xf numFmtId="165" fontId="0" fillId="0" borderId="0" xfId="17" applyNumberFormat="1" applyFont="1" applyAlignment="1" applyProtection="1">
      <alignment vertical="center"/>
    </xf>
    <xf numFmtId="165" fontId="13" fillId="14" borderId="24" xfId="17" applyNumberFormat="1" applyFont="1" applyFill="1" applyBorder="1" applyAlignment="1" applyProtection="1">
      <alignment vertical="center"/>
    </xf>
    <xf numFmtId="165" fontId="13" fillId="0" borderId="0" xfId="17" applyNumberFormat="1" applyFont="1" applyAlignment="1" applyProtection="1">
      <alignment vertical="center"/>
    </xf>
    <xf numFmtId="164" fontId="11" fillId="13" borderId="27" xfId="1" applyNumberFormat="1" applyFont="1" applyFill="1" applyBorder="1" applyAlignment="1" applyProtection="1">
      <alignment vertical="center"/>
    </xf>
    <xf numFmtId="164" fontId="11" fillId="13" borderId="30" xfId="1" applyNumberFormat="1" applyFont="1" applyFill="1" applyBorder="1" applyAlignment="1" applyProtection="1">
      <alignment vertical="center"/>
    </xf>
    <xf numFmtId="165" fontId="11" fillId="13" borderId="27" xfId="17" applyNumberFormat="1" applyFont="1" applyFill="1" applyBorder="1" applyAlignment="1" applyProtection="1">
      <alignment vertical="center"/>
    </xf>
    <xf numFmtId="165" fontId="11" fillId="13" borderId="30" xfId="17" applyNumberFormat="1" applyFont="1" applyFill="1" applyBorder="1" applyAlignment="1" applyProtection="1">
      <alignment vertical="center"/>
    </xf>
    <xf numFmtId="165" fontId="11" fillId="13" borderId="32" xfId="17" applyNumberFormat="1" applyFont="1" applyFill="1" applyBorder="1" applyAlignment="1" applyProtection="1">
      <alignment vertical="center"/>
    </xf>
    <xf numFmtId="165" fontId="11" fillId="13" borderId="31" xfId="17" applyNumberFormat="1" applyFont="1" applyFill="1" applyBorder="1" applyAlignment="1" applyProtection="1">
      <alignment vertical="center"/>
    </xf>
    <xf numFmtId="165" fontId="11" fillId="13" borderId="25" xfId="17" applyNumberFormat="1" applyFont="1" applyFill="1" applyBorder="1" applyAlignment="1" applyProtection="1">
      <alignment vertical="center"/>
    </xf>
    <xf numFmtId="0" fontId="13" fillId="0" borderId="7" xfId="0" applyFont="1" applyBorder="1" applyAlignment="1" applyProtection="1">
      <alignment horizontal="center" vertical="center"/>
    </xf>
    <xf numFmtId="0" fontId="13" fillId="0" borderId="8" xfId="0" applyFont="1" applyBorder="1" applyAlignment="1" applyProtection="1">
      <alignment vertical="center"/>
    </xf>
    <xf numFmtId="0" fontId="13" fillId="0" borderId="13" xfId="0" applyFont="1" applyBorder="1" applyAlignment="1" applyProtection="1">
      <alignment horizontal="center" vertical="center"/>
    </xf>
    <xf numFmtId="0" fontId="13" fillId="0" borderId="11" xfId="0" applyFont="1" applyBorder="1" applyAlignment="1" applyProtection="1">
      <alignment vertical="center"/>
    </xf>
    <xf numFmtId="0" fontId="13" fillId="0" borderId="29" xfId="0" applyFont="1" applyBorder="1" applyAlignment="1" applyProtection="1">
      <alignment vertical="center" wrapText="1"/>
    </xf>
    <xf numFmtId="0" fontId="13" fillId="0" borderId="27" xfId="0" applyFont="1" applyBorder="1" applyAlignment="1" applyProtection="1">
      <alignment vertical="center" wrapText="1"/>
    </xf>
    <xf numFmtId="0" fontId="13" fillId="0" borderId="27" xfId="0" applyFont="1" applyBorder="1" applyAlignment="1" applyProtection="1">
      <alignment vertical="center"/>
    </xf>
    <xf numFmtId="0" fontId="22" fillId="0" borderId="10" xfId="0" applyFont="1" applyBorder="1" applyAlignment="1" applyProtection="1">
      <alignment horizontal="center" vertical="center"/>
    </xf>
    <xf numFmtId="0" fontId="22" fillId="0" borderId="11" xfId="0" applyFont="1" applyBorder="1" applyAlignment="1" applyProtection="1">
      <alignment vertical="center"/>
    </xf>
    <xf numFmtId="0" fontId="22" fillId="0" borderId="13" xfId="0" applyFont="1" applyBorder="1" applyAlignment="1" applyProtection="1">
      <alignment horizontal="center" vertical="center"/>
    </xf>
    <xf numFmtId="0" fontId="22" fillId="0" borderId="14" xfId="0" applyFont="1" applyBorder="1" applyAlignment="1" applyProtection="1">
      <alignment vertical="center"/>
    </xf>
    <xf numFmtId="0" fontId="22" fillId="0" borderId="16" xfId="0" applyFont="1" applyBorder="1" applyAlignment="1" applyProtection="1">
      <alignment horizontal="center" vertical="center"/>
    </xf>
    <xf numFmtId="0" fontId="22" fillId="0" borderId="17" xfId="0" applyFont="1" applyBorder="1" applyAlignment="1" applyProtection="1">
      <alignment vertical="center"/>
    </xf>
    <xf numFmtId="0" fontId="22" fillId="0" borderId="27" xfId="0" applyFont="1" applyFill="1" applyBorder="1" applyAlignment="1" applyProtection="1">
      <alignment horizontal="center" vertical="center"/>
    </xf>
    <xf numFmtId="0" fontId="22" fillId="0" borderId="27" xfId="0" applyFont="1" applyFill="1" applyBorder="1" applyAlignment="1" applyProtection="1">
      <alignment vertical="center"/>
    </xf>
    <xf numFmtId="0" fontId="22" fillId="0" borderId="27" xfId="0" applyFont="1" applyBorder="1" applyAlignment="1" applyProtection="1">
      <alignment horizontal="center" vertical="center"/>
    </xf>
    <xf numFmtId="0" fontId="22" fillId="0" borderId="27" xfId="0" applyFont="1" applyBorder="1" applyAlignment="1" applyProtection="1">
      <alignment vertical="center"/>
    </xf>
    <xf numFmtId="0" fontId="22" fillId="0" borderId="19" xfId="0" applyFont="1" applyBorder="1" applyAlignment="1" applyProtection="1">
      <alignment horizontal="center" vertical="center"/>
    </xf>
    <xf numFmtId="0" fontId="22" fillId="0" borderId="23" xfId="0" applyFont="1" applyBorder="1" applyAlignment="1" applyProtection="1">
      <alignment vertical="center"/>
    </xf>
    <xf numFmtId="0" fontId="13" fillId="0" borderId="29" xfId="0" applyFont="1" applyBorder="1" applyAlignment="1" applyProtection="1">
      <alignment horizontal="center" vertical="center" wrapText="1"/>
    </xf>
    <xf numFmtId="0" fontId="13" fillId="0" borderId="28" xfId="0" applyFont="1" applyBorder="1" applyAlignment="1" applyProtection="1">
      <alignment horizontal="center" vertical="center" wrapText="1"/>
    </xf>
    <xf numFmtId="0" fontId="0" fillId="0" borderId="0" xfId="0" applyFill="1" applyAlignment="1" applyProtection="1">
      <alignment vertical="center"/>
    </xf>
    <xf numFmtId="0" fontId="17" fillId="0" borderId="0" xfId="0" applyFont="1" applyFill="1" applyAlignment="1" applyProtection="1">
      <alignment vertical="center" wrapText="1"/>
    </xf>
    <xf numFmtId="0" fontId="0" fillId="0" borderId="0" xfId="0" applyFont="1" applyAlignment="1" applyProtection="1">
      <alignment vertical="center"/>
    </xf>
    <xf numFmtId="0" fontId="4" fillId="0" borderId="0" xfId="30" applyProtection="1">
      <protection locked="0"/>
    </xf>
    <xf numFmtId="44" fontId="0" fillId="0" borderId="0" xfId="31" applyFont="1" applyProtection="1">
      <protection locked="0"/>
    </xf>
    <xf numFmtId="0" fontId="14" fillId="0" borderId="0" xfId="30" applyFont="1" applyAlignment="1" applyProtection="1">
      <alignment horizontal="center" vertical="center"/>
      <protection locked="0"/>
    </xf>
    <xf numFmtId="0" fontId="4" fillId="0" borderId="0" xfId="30" applyProtection="1"/>
    <xf numFmtId="44" fontId="0" fillId="0" borderId="0" xfId="31" applyFont="1" applyProtection="1"/>
    <xf numFmtId="0" fontId="20" fillId="0" borderId="0" xfId="30" applyFont="1" applyProtection="1"/>
    <xf numFmtId="44" fontId="0" fillId="0" borderId="0" xfId="31" applyFont="1" applyAlignment="1" applyProtection="1">
      <alignment horizontal="right"/>
    </xf>
    <xf numFmtId="0" fontId="14" fillId="0" borderId="1" xfId="30" applyFont="1" applyBorder="1" applyAlignment="1" applyProtection="1">
      <alignment horizontal="center" vertical="center"/>
    </xf>
    <xf numFmtId="44" fontId="14" fillId="0" borderId="1" xfId="31" applyFont="1" applyBorder="1" applyAlignment="1" applyProtection="1">
      <alignment horizontal="center" vertical="center"/>
    </xf>
    <xf numFmtId="0" fontId="4" fillId="0" borderId="1" xfId="30" applyBorder="1" applyProtection="1"/>
    <xf numFmtId="44" fontId="0" fillId="0" borderId="1" xfId="31" applyFont="1" applyBorder="1" applyProtection="1"/>
    <xf numFmtId="44" fontId="14" fillId="0" borderId="1" xfId="31" applyFont="1" applyBorder="1" applyProtection="1"/>
    <xf numFmtId="0" fontId="24" fillId="0" borderId="0" xfId="0" applyFont="1" applyBorder="1" applyAlignment="1">
      <alignment horizontal="center"/>
    </xf>
    <xf numFmtId="0" fontId="24" fillId="0" borderId="0" xfId="0" applyFont="1"/>
    <xf numFmtId="0" fontId="24" fillId="0" borderId="35" xfId="0" applyFont="1" applyBorder="1" applyAlignment="1">
      <alignment horizontal="center" vertical="center" wrapText="1"/>
    </xf>
    <xf numFmtId="0" fontId="24" fillId="0" borderId="41" xfId="0" applyFont="1" applyBorder="1" applyAlignment="1">
      <alignment vertical="center" wrapText="1"/>
    </xf>
    <xf numFmtId="0" fontId="24" fillId="0" borderId="42" xfId="0" applyFont="1" applyBorder="1" applyAlignment="1">
      <alignment vertical="center" wrapText="1"/>
    </xf>
    <xf numFmtId="0" fontId="24" fillId="0" borderId="35" xfId="0" applyFont="1" applyBorder="1" applyAlignment="1">
      <alignment horizontal="centerContinuous" vertical="center" wrapText="1"/>
    </xf>
    <xf numFmtId="0" fontId="24" fillId="0" borderId="42" xfId="0" applyFont="1" applyBorder="1" applyAlignment="1">
      <alignment horizontal="centerContinuous" vertical="center" wrapText="1"/>
    </xf>
    <xf numFmtId="0" fontId="24" fillId="0" borderId="11" xfId="0" applyFont="1" applyFill="1" applyBorder="1"/>
    <xf numFmtId="0" fontId="24" fillId="0" borderId="11" xfId="0" applyFont="1" applyFill="1" applyBorder="1" applyAlignment="1">
      <alignment horizontal="center"/>
    </xf>
    <xf numFmtId="166" fontId="24" fillId="0" borderId="11" xfId="1" applyNumberFormat="1" applyFont="1" applyFill="1" applyBorder="1"/>
    <xf numFmtId="0" fontId="0" fillId="0" borderId="0" xfId="0" applyFont="1"/>
    <xf numFmtId="0" fontId="24" fillId="0" borderId="11" xfId="0" applyFont="1" applyFill="1" applyBorder="1" applyAlignment="1"/>
    <xf numFmtId="0" fontId="25" fillId="0" borderId="11" xfId="30" applyFont="1" applyFill="1" applyBorder="1"/>
    <xf numFmtId="0" fontId="25" fillId="0" borderId="11" xfId="30" applyNumberFormat="1" applyFont="1" applyFill="1" applyBorder="1"/>
    <xf numFmtId="0" fontId="24" fillId="0" borderId="11" xfId="0" applyFont="1" applyFill="1" applyBorder="1" applyAlignment="1">
      <alignment horizontal="center" wrapText="1"/>
    </xf>
    <xf numFmtId="0" fontId="24" fillId="0" borderId="11" xfId="0" applyFont="1" applyFill="1" applyBorder="1" applyAlignment="1">
      <alignment horizontal="right"/>
    </xf>
    <xf numFmtId="0" fontId="26" fillId="0" borderId="11" xfId="0" applyFont="1" applyBorder="1"/>
    <xf numFmtId="164" fontId="11" fillId="15" borderId="1" xfId="1" applyNumberFormat="1" applyFont="1" applyFill="1" applyBorder="1" applyAlignment="1" applyProtection="1">
      <alignment horizontal="right" vertical="center" wrapText="1" readingOrder="1"/>
    </xf>
    <xf numFmtId="164" fontId="0" fillId="12" borderId="1" xfId="1" applyNumberFormat="1" applyFont="1" applyFill="1" applyBorder="1" applyAlignment="1" applyProtection="1">
      <alignment vertical="center" wrapText="1"/>
      <protection locked="0"/>
    </xf>
    <xf numFmtId="164" fontId="3" fillId="0" borderId="43" xfId="1" applyNumberFormat="1" applyFont="1" applyBorder="1" applyAlignment="1" applyProtection="1">
      <alignment vertical="center"/>
      <protection locked="0"/>
    </xf>
    <xf numFmtId="0" fontId="3" fillId="16" borderId="43" xfId="0" applyFont="1" applyFill="1" applyBorder="1" applyAlignment="1" applyProtection="1">
      <alignment vertical="center"/>
      <protection locked="0"/>
    </xf>
    <xf numFmtId="164" fontId="32" fillId="16" borderId="43" xfId="1" applyNumberFormat="1" applyFont="1" applyFill="1" applyBorder="1" applyAlignment="1" applyProtection="1">
      <alignment vertical="center"/>
      <protection locked="0"/>
    </xf>
    <xf numFmtId="0" fontId="19"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left" vertical="center" wrapText="1"/>
      <protection locked="0"/>
    </xf>
    <xf numFmtId="43" fontId="19" fillId="0" borderId="0" xfId="0" applyNumberFormat="1" applyFont="1" applyAlignment="1" applyProtection="1">
      <alignment vertical="center" wrapText="1"/>
      <protection locked="0"/>
    </xf>
    <xf numFmtId="1" fontId="14" fillId="8" borderId="1" xfId="0" applyNumberFormat="1" applyFont="1" applyFill="1" applyBorder="1" applyAlignment="1" applyProtection="1">
      <alignment horizontal="center" vertical="center" wrapText="1"/>
    </xf>
    <xf numFmtId="0" fontId="0" fillId="0" borderId="0" xfId="0" applyAlignment="1" applyProtection="1">
      <alignment vertical="center" wrapText="1"/>
    </xf>
    <xf numFmtId="43" fontId="0" fillId="0" borderId="0" xfId="0" applyNumberFormat="1" applyAlignment="1" applyProtection="1">
      <alignment vertical="center"/>
    </xf>
    <xf numFmtId="0" fontId="0" fillId="0" borderId="0" xfId="0" applyFont="1" applyAlignment="1" applyProtection="1">
      <alignment horizontal="center" vertical="center"/>
    </xf>
    <xf numFmtId="0" fontId="13" fillId="6" borderId="22" xfId="0" applyFont="1" applyFill="1" applyBorder="1" applyAlignment="1" applyProtection="1">
      <alignment vertical="center"/>
    </xf>
    <xf numFmtId="164" fontId="0" fillId="0" borderId="0" xfId="0" applyNumberFormat="1" applyFont="1" applyAlignment="1" applyProtection="1">
      <alignment vertical="center"/>
    </xf>
    <xf numFmtId="164" fontId="0" fillId="0" borderId="0" xfId="0" applyNumberFormat="1" applyAlignment="1" applyProtection="1">
      <alignment vertical="center"/>
    </xf>
    <xf numFmtId="44" fontId="0" fillId="0" borderId="0" xfId="17" applyFont="1" applyAlignment="1" applyProtection="1">
      <alignment vertical="center"/>
    </xf>
    <xf numFmtId="0" fontId="0" fillId="0" borderId="0" xfId="0" applyAlignment="1" applyProtection="1">
      <alignment horizontal="center" vertical="center"/>
    </xf>
    <xf numFmtId="0" fontId="0" fillId="0" borderId="0" xfId="0" applyNumberFormat="1" applyAlignment="1" applyProtection="1">
      <alignment vertical="center"/>
    </xf>
    <xf numFmtId="0" fontId="8" fillId="2" borderId="2" xfId="30" applyFont="1" applyFill="1" applyBorder="1" applyAlignment="1" applyProtection="1">
      <alignment vertical="center" wrapText="1" readingOrder="1"/>
    </xf>
    <xf numFmtId="0" fontId="21" fillId="0" borderId="0" xfId="30" applyFont="1" applyProtection="1"/>
    <xf numFmtId="0" fontId="3" fillId="0" borderId="0" xfId="0" applyFont="1" applyAlignment="1" applyProtection="1">
      <alignment vertical="center" wrapText="1"/>
    </xf>
    <xf numFmtId="0" fontId="3" fillId="0" borderId="0" xfId="0" applyFont="1" applyAlignment="1" applyProtection="1">
      <alignment vertical="center"/>
    </xf>
    <xf numFmtId="164" fontId="3" fillId="16" borderId="43" xfId="1" applyNumberFormat="1"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Border="1" applyAlignment="1" applyProtection="1">
      <alignment horizontal="left" vertical="center" wrapText="1"/>
    </xf>
    <xf numFmtId="0" fontId="31" fillId="0" borderId="0" xfId="0" applyFont="1" applyAlignment="1" applyProtection="1">
      <alignment vertical="center" wrapText="1"/>
    </xf>
    <xf numFmtId="0" fontId="14" fillId="0" borderId="0" xfId="0" applyFont="1" applyAlignment="1" applyProtection="1">
      <alignment horizontal="center" vertical="center" wrapText="1"/>
    </xf>
    <xf numFmtId="0" fontId="3" fillId="0" borderId="0" xfId="0" applyFont="1" applyAlignment="1" applyProtection="1">
      <alignment horizontal="right" vertical="center"/>
    </xf>
    <xf numFmtId="0" fontId="13" fillId="0" borderId="0" xfId="0" applyFont="1" applyAlignment="1" applyProtection="1">
      <alignment horizontal="center" wrapText="1"/>
    </xf>
    <xf numFmtId="0" fontId="32" fillId="0" borderId="0" xfId="0" applyFont="1" applyAlignment="1" applyProtection="1">
      <alignment horizontal="right" vertical="center"/>
    </xf>
    <xf numFmtId="0" fontId="30" fillId="0" borderId="0" xfId="0" applyFont="1" applyAlignment="1" applyProtection="1">
      <alignment horizontal="center" vertical="center" wrapText="1"/>
    </xf>
    <xf numFmtId="0" fontId="30" fillId="0" borderId="0" xfId="0" applyFont="1" applyAlignment="1" applyProtection="1">
      <alignment horizontal="right" vertical="center" wrapText="1"/>
    </xf>
    <xf numFmtId="0" fontId="14" fillId="0" borderId="11" xfId="0" applyFont="1" applyBorder="1" applyAlignment="1" applyProtection="1">
      <alignment horizontal="center" vertical="center" wrapText="1"/>
    </xf>
    <xf numFmtId="0" fontId="14" fillId="0" borderId="0" xfId="0" applyFont="1" applyAlignment="1" applyProtection="1">
      <alignment vertical="center"/>
    </xf>
    <xf numFmtId="0" fontId="3" fillId="0" borderId="11" xfId="0" applyFont="1" applyBorder="1" applyAlignment="1" applyProtection="1">
      <alignment horizontal="center" vertical="center" wrapText="1"/>
    </xf>
    <xf numFmtId="0" fontId="32" fillId="0" borderId="11" xfId="0" applyFont="1" applyBorder="1" applyAlignment="1" applyProtection="1">
      <alignment horizontal="center" vertical="center" wrapText="1"/>
    </xf>
    <xf numFmtId="44" fontId="3" fillId="16" borderId="11" xfId="0" applyNumberFormat="1" applyFont="1" applyFill="1" applyBorder="1" applyAlignment="1" applyProtection="1">
      <alignment horizontal="center" vertical="center" wrapText="1"/>
    </xf>
    <xf numFmtId="44" fontId="32" fillId="16" borderId="11" xfId="0" applyNumberFormat="1" applyFont="1" applyFill="1" applyBorder="1" applyAlignment="1" applyProtection="1">
      <alignment horizontal="center" vertical="center" wrapText="1"/>
    </xf>
    <xf numFmtId="0" fontId="2" fillId="0" borderId="0" xfId="30" applyFont="1"/>
    <xf numFmtId="0" fontId="0" fillId="7" borderId="1" xfId="0" applyFill="1" applyBorder="1" applyAlignment="1" applyProtection="1">
      <alignment vertical="center" wrapText="1"/>
      <protection locked="0"/>
    </xf>
    <xf numFmtId="0" fontId="8" fillId="3" borderId="1" xfId="0" applyFont="1" applyFill="1" applyBorder="1" applyAlignment="1" applyProtection="1">
      <alignment horizontal="center" vertical="center" wrapText="1" readingOrder="1"/>
    </xf>
    <xf numFmtId="0" fontId="5" fillId="4" borderId="1" xfId="0" applyFont="1" applyFill="1" applyBorder="1" applyAlignment="1" applyProtection="1">
      <alignment horizontal="center" vertical="center" wrapText="1" readingOrder="1"/>
    </xf>
    <xf numFmtId="0" fontId="5" fillId="7" borderId="1"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0" fillId="0" borderId="1" xfId="0" applyBorder="1" applyAlignment="1" applyProtection="1">
      <alignment horizontal="left" vertical="center" wrapText="1"/>
    </xf>
    <xf numFmtId="0" fontId="13" fillId="0" borderId="0" xfId="0" applyFont="1" applyAlignment="1" applyProtection="1">
      <alignment horizontal="center" vertical="center"/>
    </xf>
    <xf numFmtId="0" fontId="19" fillId="0" borderId="0" xfId="0" applyFont="1" applyAlignment="1" applyProtection="1">
      <alignment vertical="center" wrapText="1"/>
    </xf>
    <xf numFmtId="0" fontId="19" fillId="0" borderId="0" xfId="0" applyFont="1" applyAlignment="1" applyProtection="1">
      <alignment horizontal="left" vertical="center" wrapText="1"/>
    </xf>
    <xf numFmtId="165" fontId="33" fillId="13" borderId="27" xfId="17" applyNumberFormat="1" applyFont="1" applyFill="1" applyBorder="1" applyAlignment="1" applyProtection="1">
      <alignment vertical="center"/>
    </xf>
    <xf numFmtId="165" fontId="33" fillId="13" borderId="30" xfId="17" applyNumberFormat="1" applyFont="1" applyFill="1" applyBorder="1" applyAlignment="1" applyProtection="1">
      <alignment vertical="center"/>
    </xf>
    <xf numFmtId="0" fontId="1" fillId="0" borderId="0" xfId="32"/>
    <xf numFmtId="0" fontId="1" fillId="8" borderId="0" xfId="32" applyFill="1"/>
    <xf numFmtId="10" fontId="1" fillId="0" borderId="0" xfId="32" applyNumberFormat="1"/>
    <xf numFmtId="164" fontId="0" fillId="0" borderId="15" xfId="1" applyNumberFormat="1" applyFont="1" applyBorder="1" applyAlignment="1" applyProtection="1">
      <alignment vertical="center"/>
      <protection locked="0"/>
    </xf>
    <xf numFmtId="164" fontId="0" fillId="0" borderId="9" xfId="1" applyNumberFormat="1" applyFont="1" applyBorder="1" applyAlignment="1" applyProtection="1">
      <alignment vertical="center"/>
      <protection locked="0"/>
    </xf>
    <xf numFmtId="0" fontId="1" fillId="0" borderId="5" xfId="30" applyFont="1" applyBorder="1" applyProtection="1">
      <protection locked="0"/>
    </xf>
    <xf numFmtId="0" fontId="34" fillId="0" borderId="0" xfId="0" applyFont="1"/>
    <xf numFmtId="0" fontId="35" fillId="0" borderId="0" xfId="0" applyFont="1"/>
    <xf numFmtId="0" fontId="3" fillId="0" borderId="0" xfId="0" applyFont="1" applyAlignment="1" applyProtection="1">
      <alignment horizontal="left" vertical="center"/>
    </xf>
    <xf numFmtId="0" fontId="3" fillId="0" borderId="44" xfId="0" applyFont="1" applyBorder="1" applyAlignment="1" applyProtection="1">
      <alignment horizontal="left" vertical="center"/>
    </xf>
    <xf numFmtId="0" fontId="3" fillId="0" borderId="11" xfId="0" applyFont="1" applyBorder="1" applyAlignment="1" applyProtection="1">
      <alignment horizontal="left" vertical="center" wrapText="1"/>
    </xf>
    <xf numFmtId="0" fontId="32" fillId="0" borderId="11" xfId="0" applyFont="1" applyBorder="1" applyAlignment="1" applyProtection="1">
      <alignment horizontal="left" vertical="center" wrapText="1"/>
    </xf>
    <xf numFmtId="0" fontId="14" fillId="0" borderId="11" xfId="0" applyFont="1" applyBorder="1" applyAlignment="1" applyProtection="1">
      <alignment horizontal="left" vertical="center" wrapText="1"/>
    </xf>
    <xf numFmtId="0" fontId="3" fillId="0" borderId="0" xfId="0" applyFont="1" applyAlignment="1" applyProtection="1">
      <alignment horizontal="center" vertical="center" wrapText="1"/>
    </xf>
    <xf numFmtId="0" fontId="30" fillId="0" borderId="0" xfId="0" applyFont="1" applyAlignment="1" applyProtection="1">
      <alignment horizontal="center" vertical="center" wrapText="1"/>
    </xf>
    <xf numFmtId="0" fontId="14" fillId="0" borderId="0" xfId="0" applyFont="1" applyAlignment="1" applyProtection="1">
      <alignment horizontal="center" vertical="center"/>
    </xf>
    <xf numFmtId="0" fontId="32" fillId="0" borderId="0" xfId="0" applyFont="1" applyAlignment="1" applyProtection="1">
      <alignment horizontal="left" vertical="center"/>
    </xf>
    <xf numFmtId="0" fontId="32" fillId="0" borderId="44" xfId="0" applyFont="1" applyBorder="1" applyAlignment="1" applyProtection="1">
      <alignment horizontal="left" vertical="center"/>
    </xf>
    <xf numFmtId="0" fontId="3" fillId="0" borderId="0" xfId="0" applyFont="1" applyAlignment="1" applyProtection="1">
      <alignment horizontal="left" vertical="center" wrapText="1"/>
    </xf>
    <xf numFmtId="0" fontId="3" fillId="0" borderId="44" xfId="0" applyFont="1" applyBorder="1" applyAlignment="1" applyProtection="1">
      <alignment horizontal="left" vertical="center" wrapText="1"/>
    </xf>
    <xf numFmtId="0" fontId="31" fillId="0" borderId="0" xfId="0" applyFont="1" applyAlignment="1" applyProtection="1">
      <alignment horizontal="center" vertical="center" wrapText="1"/>
    </xf>
    <xf numFmtId="0" fontId="28" fillId="0" borderId="0" xfId="0" applyFont="1" applyAlignment="1" applyProtection="1">
      <alignment horizontal="center" vertical="center" wrapText="1"/>
    </xf>
    <xf numFmtId="0" fontId="28" fillId="0" borderId="0" xfId="0" applyFont="1" applyAlignment="1" applyProtection="1">
      <alignment horizontal="center" vertical="center"/>
      <protection locked="0"/>
    </xf>
    <xf numFmtId="0" fontId="19" fillId="0" borderId="0" xfId="0" applyFont="1" applyAlignment="1" applyProtection="1">
      <alignment horizontal="left" vertical="center" wrapText="1"/>
    </xf>
    <xf numFmtId="0" fontId="8" fillId="2" borderId="1" xfId="0" applyFont="1" applyFill="1" applyBorder="1" applyAlignment="1" applyProtection="1">
      <alignment horizontal="center" vertical="center" wrapText="1" readingOrder="1"/>
    </xf>
    <xf numFmtId="0" fontId="9" fillId="4" borderId="1" xfId="0" applyFont="1" applyFill="1" applyBorder="1" applyAlignment="1" applyProtection="1">
      <alignment horizontal="center" vertical="center" wrapText="1" readingOrder="1"/>
    </xf>
    <xf numFmtId="0" fontId="13" fillId="0" borderId="0" xfId="0" applyFont="1" applyAlignment="1" applyProtection="1">
      <alignment horizontal="center" vertical="center"/>
    </xf>
    <xf numFmtId="0" fontId="13" fillId="0" borderId="1" xfId="0" applyFont="1" applyBorder="1" applyAlignment="1" applyProtection="1">
      <alignment horizontal="center" vertical="center"/>
    </xf>
    <xf numFmtId="0" fontId="10" fillId="9" borderId="2" xfId="0" applyFont="1" applyFill="1" applyBorder="1" applyAlignment="1" applyProtection="1">
      <alignment horizontal="center" vertical="center" wrapText="1" readingOrder="1"/>
    </xf>
    <xf numFmtId="0" fontId="10" fillId="9" borderId="4" xfId="0" applyFont="1" applyFill="1" applyBorder="1" applyAlignment="1" applyProtection="1">
      <alignment horizontal="center" vertical="center" wrapText="1" readingOrder="1"/>
    </xf>
    <xf numFmtId="0" fontId="10" fillId="9" borderId="3" xfId="0" applyFont="1" applyFill="1" applyBorder="1" applyAlignment="1" applyProtection="1">
      <alignment horizontal="center" vertical="center" wrapText="1" readingOrder="1"/>
    </xf>
    <xf numFmtId="0" fontId="13" fillId="0" borderId="29" xfId="0" applyFont="1" applyBorder="1" applyAlignment="1" applyProtection="1">
      <alignment horizontal="center" vertical="center"/>
    </xf>
    <xf numFmtId="0" fontId="13" fillId="0" borderId="27" xfId="0" applyFont="1" applyBorder="1" applyAlignment="1" applyProtection="1">
      <alignment horizontal="center" vertical="center"/>
    </xf>
    <xf numFmtId="0" fontId="0" fillId="0" borderId="45" xfId="0" applyFont="1" applyBorder="1" applyAlignment="1" applyProtection="1">
      <alignment horizontal="left" vertical="center"/>
    </xf>
    <xf numFmtId="0" fontId="0" fillId="0" borderId="0" xfId="0" applyFont="1" applyAlignment="1" applyProtection="1">
      <alignment horizontal="left" vertical="center"/>
    </xf>
    <xf numFmtId="0" fontId="0" fillId="0" borderId="45" xfId="0" applyFont="1" applyBorder="1" applyAlignment="1" applyProtection="1">
      <alignment horizontal="left" vertical="center" wrapText="1"/>
    </xf>
    <xf numFmtId="0" fontId="0" fillId="0" borderId="0" xfId="0" applyFont="1" applyAlignment="1" applyProtection="1">
      <alignment horizontal="left" vertical="center" wrapText="1"/>
    </xf>
    <xf numFmtId="0" fontId="10" fillId="9" borderId="6" xfId="30" applyFont="1" applyFill="1" applyBorder="1" applyAlignment="1" applyProtection="1">
      <alignment horizontal="center" vertical="center" wrapText="1" readingOrder="1"/>
    </xf>
    <xf numFmtId="0" fontId="10" fillId="9" borderId="0" xfId="30" applyFont="1" applyFill="1" applyBorder="1" applyAlignment="1" applyProtection="1">
      <alignment horizontal="center" vertical="center" wrapText="1" readingOrder="1"/>
    </xf>
    <xf numFmtId="0" fontId="27" fillId="0" borderId="11" xfId="0" applyFont="1" applyBorder="1" applyAlignment="1">
      <alignment horizontal="center"/>
    </xf>
    <xf numFmtId="0" fontId="24" fillId="0" borderId="17" xfId="0" applyFont="1" applyBorder="1" applyAlignment="1">
      <alignment horizontal="center" wrapText="1"/>
    </xf>
    <xf numFmtId="0" fontId="24" fillId="0" borderId="34" xfId="0" applyFont="1" applyBorder="1" applyAlignment="1">
      <alignment horizontal="center" wrapText="1"/>
    </xf>
    <xf numFmtId="0" fontId="24" fillId="0" borderId="14" xfId="0" applyFont="1" applyBorder="1" applyAlignment="1">
      <alignment horizontal="center" wrapText="1"/>
    </xf>
    <xf numFmtId="0" fontId="24" fillId="0" borderId="37" xfId="0" applyFont="1" applyBorder="1" applyAlignment="1">
      <alignment horizontal="center" vertical="top" wrapText="1"/>
    </xf>
    <xf numFmtId="0" fontId="24" fillId="0" borderId="38" xfId="0" applyFont="1" applyBorder="1" applyAlignment="1">
      <alignment horizontal="center" vertical="top" wrapText="1"/>
    </xf>
    <xf numFmtId="0" fontId="24" fillId="0" borderId="40" xfId="0" applyFont="1" applyBorder="1" applyAlignment="1">
      <alignment horizontal="center" vertical="top" wrapText="1"/>
    </xf>
    <xf numFmtId="0" fontId="24" fillId="0" borderId="35" xfId="0" applyFont="1" applyBorder="1" applyAlignment="1">
      <alignment horizontal="center" vertical="top" wrapText="1"/>
    </xf>
    <xf numFmtId="0" fontId="24" fillId="0" borderId="0" xfId="0" applyFont="1" applyBorder="1" applyAlignment="1">
      <alignment horizontal="center" vertical="center" wrapText="1"/>
    </xf>
    <xf numFmtId="0" fontId="24" fillId="0" borderId="35" xfId="0" applyFont="1" applyBorder="1" applyAlignment="1">
      <alignment horizontal="center" vertical="center" wrapText="1"/>
    </xf>
    <xf numFmtId="0" fontId="23" fillId="0" borderId="11" xfId="0" applyFont="1" applyBorder="1" applyAlignment="1">
      <alignment horizontal="center"/>
    </xf>
    <xf numFmtId="0" fontId="24" fillId="0" borderId="11" xfId="0" applyFont="1" applyBorder="1" applyAlignment="1">
      <alignment horizontal="center"/>
    </xf>
    <xf numFmtId="0" fontId="24" fillId="0" borderId="14"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8" xfId="0" applyFont="1" applyBorder="1" applyAlignment="1">
      <alignment horizontal="center" vertical="center" wrapText="1"/>
    </xf>
    <xf numFmtId="0" fontId="24" fillId="0" borderId="39" xfId="0" applyFont="1" applyBorder="1" applyAlignment="1">
      <alignment horizontal="center" vertical="center" wrapText="1"/>
    </xf>
  </cellXfs>
  <cellStyles count="33">
    <cellStyle name="Comma" xfId="1" builtinId="3"/>
    <cellStyle name="Currency" xfId="17" builtinId="4"/>
    <cellStyle name="Currency 2" xfId="3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Normal" xfId="0" builtinId="0"/>
    <cellStyle name="Normal 2" xfId="30"/>
    <cellStyle name="Normal 3" xfId="32"/>
    <cellStyle name="Percent" xfId="2" builtinId="5"/>
  </cellStyles>
  <dxfs count="4">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tabSelected="1" workbookViewId="0">
      <selection activeCell="E18" sqref="E18"/>
    </sheetView>
  </sheetViews>
  <sheetFormatPr baseColWidth="10" defaultRowHeight="15" x14ac:dyDescent="0.2"/>
  <sheetData>
    <row r="2" spans="2:2" ht="18" x14ac:dyDescent="0.2">
      <c r="B2" s="193" t="s">
        <v>444</v>
      </c>
    </row>
    <row r="3" spans="2:2" ht="18" x14ac:dyDescent="0.2">
      <c r="B3" s="194" t="s">
        <v>445</v>
      </c>
    </row>
    <row r="4" spans="2:2" ht="18" x14ac:dyDescent="0.2">
      <c r="B4" s="193" t="s">
        <v>446</v>
      </c>
    </row>
    <row r="5" spans="2:2" ht="18" x14ac:dyDescent="0.2">
      <c r="B5" s="193" t="s">
        <v>447</v>
      </c>
    </row>
    <row r="6" spans="2:2" ht="18" x14ac:dyDescent="0.2">
      <c r="B6" s="193" t="s">
        <v>448</v>
      </c>
    </row>
    <row r="7" spans="2:2" ht="18" x14ac:dyDescent="0.2">
      <c r="B7" s="193" t="s">
        <v>449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8"/>
  <sheetViews>
    <sheetView showGridLines="0" workbookViewId="0">
      <selection activeCell="G18" sqref="G18"/>
    </sheetView>
  </sheetViews>
  <sheetFormatPr baseColWidth="10" defaultColWidth="10.83203125" defaultRowHeight="16" x14ac:dyDescent="0.2"/>
  <cols>
    <col min="1" max="1" width="6" style="107" bestFit="1" customWidth="1"/>
    <col min="2" max="2" width="23.5" style="107" bestFit="1" customWidth="1"/>
    <col min="3" max="3" width="13.6640625" style="108" bestFit="1" customWidth="1"/>
    <col min="4" max="4" width="10.83203125" style="108"/>
    <col min="5" max="5" width="13.33203125" style="108" customWidth="1"/>
    <col min="6" max="16384" width="10.83203125" style="107"/>
  </cols>
  <sheetData>
    <row r="1" spans="1:5" x14ac:dyDescent="0.2">
      <c r="A1" s="110"/>
      <c r="B1" s="110"/>
      <c r="C1" s="111"/>
      <c r="D1" s="111"/>
      <c r="E1" s="111"/>
    </row>
    <row r="2" spans="1:5" hidden="1" x14ac:dyDescent="0.2">
      <c r="A2" s="110"/>
      <c r="B2" s="110"/>
      <c r="C2" s="111"/>
      <c r="D2" s="111"/>
      <c r="E2" s="112" t="str">
        <f>IF('01-OPTIONS'!A4="A. Cost only for Septage Management","SEPTAGE ONLY",IF('01-OPTIONS'!A4="B. Cost only for Liquid Waste Management","LIQUID ONLY",IF('01-OPTIONS'!A4="C. Cost for both Septage and Liquid Waste Management","BOTH","NONE")))</f>
        <v>BOTH</v>
      </c>
    </row>
    <row r="3" spans="1:5" x14ac:dyDescent="0.2">
      <c r="A3" s="110"/>
      <c r="B3" s="110"/>
      <c r="C3" s="111"/>
      <c r="D3" s="111"/>
      <c r="E3" s="113" t="s">
        <v>154</v>
      </c>
    </row>
    <row r="4" spans="1:5" ht="54" customHeight="1" x14ac:dyDescent="0.2">
      <c r="A4" s="224" t="s">
        <v>155</v>
      </c>
      <c r="B4" s="225"/>
      <c r="C4" s="225"/>
      <c r="D4" s="225"/>
      <c r="E4" s="225"/>
    </row>
    <row r="5" spans="1:5" s="109" customFormat="1" x14ac:dyDescent="0.2">
      <c r="A5" s="114" t="s">
        <v>156</v>
      </c>
      <c r="B5" s="114" t="s">
        <v>157</v>
      </c>
      <c r="C5" s="115" t="s">
        <v>158</v>
      </c>
      <c r="D5" s="115" t="s">
        <v>159</v>
      </c>
      <c r="E5" s="115" t="s">
        <v>34</v>
      </c>
    </row>
    <row r="6" spans="1:5" x14ac:dyDescent="0.2">
      <c r="A6" s="116">
        <v>1</v>
      </c>
      <c r="B6" s="116" t="s">
        <v>160</v>
      </c>
      <c r="C6" s="117">
        <f>IF(OR(E2="SEPTAGE ONLY",E2="BOTH")=TRUE,'03-FSSM B'!C11,0)</f>
        <v>5210.5082818053897</v>
      </c>
      <c r="D6" s="117">
        <f>IF(OR(E2="SEPTAGE ONLY",E2="BOTH")=TRUE,'03-FSSM B'!C16,0)</f>
        <v>4725.6851039520243</v>
      </c>
      <c r="E6" s="118">
        <f>SUM(C6:D6)</f>
        <v>9936.1933857574149</v>
      </c>
    </row>
    <row r="7" spans="1:5" x14ac:dyDescent="0.2">
      <c r="A7" s="116">
        <v>2</v>
      </c>
      <c r="B7" s="116" t="s">
        <v>161</v>
      </c>
      <c r="C7" s="117">
        <f>IF(OR(E2="LIQUID ONLY",E2="BOTH")=TRUE,'04-LWM'!C27/100000,0)</f>
        <v>13000.388340150001</v>
      </c>
      <c r="D7" s="117">
        <f>IF(OR(E2="LIQUID ONLY",E2="BOTH")=TRUE,'04-LWM'!C28/100000,0)</f>
        <v>0</v>
      </c>
      <c r="E7" s="118">
        <f>SUM(C7:D7)</f>
        <v>13000.388340150001</v>
      </c>
    </row>
    <row r="8" spans="1:5" x14ac:dyDescent="0.2">
      <c r="A8" s="116">
        <v>3</v>
      </c>
      <c r="B8" s="116" t="s">
        <v>162</v>
      </c>
      <c r="C8" s="118">
        <f>SUM(C6:C7)</f>
        <v>18210.896621955391</v>
      </c>
      <c r="D8" s="118">
        <f>SUM(D6:D7)</f>
        <v>4725.6851039520243</v>
      </c>
      <c r="E8" s="118">
        <f>SUM(E6:E7)</f>
        <v>22936.581725907417</v>
      </c>
    </row>
  </sheetData>
  <sheetProtection password="DCCD" sheet="1" objects="1" scenarios="1" selectLockedCells="1"/>
  <mergeCells count="1">
    <mergeCell ref="A4:E4"/>
  </mergeCell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23"/>
  <sheetViews>
    <sheetView topLeftCell="A100" workbookViewId="0">
      <selection activeCell="C28" sqref="C28"/>
    </sheetView>
  </sheetViews>
  <sheetFormatPr baseColWidth="10" defaultColWidth="8.83203125" defaultRowHeight="15" x14ac:dyDescent="0.2"/>
  <cols>
    <col min="2" max="2" width="16.83203125" customWidth="1"/>
    <col min="3" max="3" width="13.5" bestFit="1" customWidth="1"/>
    <col min="17" max="17" width="10.5" style="129" customWidth="1"/>
  </cols>
  <sheetData>
    <row r="1" spans="1:21" x14ac:dyDescent="0.2">
      <c r="A1" s="236"/>
      <c r="B1" s="237"/>
      <c r="C1" s="237"/>
      <c r="D1" s="119"/>
      <c r="E1" s="120"/>
      <c r="F1" s="119"/>
      <c r="G1" s="238" t="s">
        <v>193</v>
      </c>
      <c r="H1" s="238" t="s">
        <v>194</v>
      </c>
      <c r="I1" s="234" t="s">
        <v>195</v>
      </c>
      <c r="J1" s="234"/>
      <c r="K1" s="234"/>
      <c r="L1" s="234"/>
      <c r="M1" s="234"/>
      <c r="N1" s="234"/>
      <c r="O1" s="234"/>
      <c r="P1" s="240"/>
      <c r="Q1" s="242" t="s">
        <v>377</v>
      </c>
      <c r="R1" s="242" t="s">
        <v>196</v>
      </c>
      <c r="S1" s="234" t="s">
        <v>197</v>
      </c>
      <c r="T1" s="240"/>
      <c r="U1" s="226" t="s">
        <v>198</v>
      </c>
    </row>
    <row r="2" spans="1:21" x14ac:dyDescent="0.2">
      <c r="A2" s="227" t="s">
        <v>199</v>
      </c>
      <c r="B2" s="227" t="s">
        <v>200</v>
      </c>
      <c r="C2" s="227" t="s">
        <v>201</v>
      </c>
      <c r="D2" s="227" t="s">
        <v>202</v>
      </c>
      <c r="E2" s="227" t="s">
        <v>203</v>
      </c>
      <c r="F2" s="227" t="s">
        <v>204</v>
      </c>
      <c r="G2" s="239"/>
      <c r="H2" s="239"/>
      <c r="I2" s="235"/>
      <c r="J2" s="235"/>
      <c r="K2" s="235"/>
      <c r="L2" s="235"/>
      <c r="M2" s="235"/>
      <c r="N2" s="235"/>
      <c r="O2" s="235"/>
      <c r="P2" s="241"/>
      <c r="Q2" s="242"/>
      <c r="R2" s="242"/>
      <c r="S2" s="235"/>
      <c r="T2" s="241"/>
      <c r="U2" s="226"/>
    </row>
    <row r="3" spans="1:21" x14ac:dyDescent="0.2">
      <c r="A3" s="228"/>
      <c r="B3" s="228"/>
      <c r="C3" s="228"/>
      <c r="D3" s="228"/>
      <c r="E3" s="228"/>
      <c r="F3" s="228"/>
      <c r="G3" s="239"/>
      <c r="H3" s="239"/>
      <c r="I3" s="230" t="s">
        <v>205</v>
      </c>
      <c r="J3" s="231"/>
      <c r="K3" s="231"/>
      <c r="L3" s="234" t="s">
        <v>206</v>
      </c>
      <c r="M3" s="234"/>
      <c r="N3" s="234" t="s">
        <v>207</v>
      </c>
      <c r="O3" s="243" t="s">
        <v>208</v>
      </c>
      <c r="P3" s="244"/>
      <c r="Q3" s="242"/>
      <c r="R3" s="242"/>
      <c r="S3" s="247" t="s">
        <v>209</v>
      </c>
      <c r="T3" s="248"/>
      <c r="U3" s="226"/>
    </row>
    <row r="4" spans="1:21" x14ac:dyDescent="0.2">
      <c r="A4" s="228"/>
      <c r="B4" s="228"/>
      <c r="C4" s="228"/>
      <c r="D4" s="228"/>
      <c r="E4" s="228"/>
      <c r="F4" s="228"/>
      <c r="G4" s="239"/>
      <c r="H4" s="239"/>
      <c r="I4" s="232"/>
      <c r="J4" s="233"/>
      <c r="K4" s="233"/>
      <c r="L4" s="235"/>
      <c r="M4" s="235"/>
      <c r="N4" s="234"/>
      <c r="O4" s="245"/>
      <c r="P4" s="246"/>
      <c r="Q4" s="242"/>
      <c r="R4" s="242"/>
      <c r="S4" s="235"/>
      <c r="T4" s="241"/>
      <c r="U4" s="226"/>
    </row>
    <row r="5" spans="1:21" ht="48" x14ac:dyDescent="0.2">
      <c r="A5" s="229"/>
      <c r="B5" s="229"/>
      <c r="C5" s="229"/>
      <c r="D5" s="229"/>
      <c r="E5" s="229"/>
      <c r="F5" s="229"/>
      <c r="G5" s="239"/>
      <c r="H5" s="239"/>
      <c r="I5" s="121" t="s">
        <v>210</v>
      </c>
      <c r="J5" s="121" t="s">
        <v>211</v>
      </c>
      <c r="K5" s="121" t="s">
        <v>212</v>
      </c>
      <c r="L5" s="121" t="s">
        <v>213</v>
      </c>
      <c r="M5" s="121" t="s">
        <v>214</v>
      </c>
      <c r="N5" s="235"/>
      <c r="O5" s="122" t="s">
        <v>215</v>
      </c>
      <c r="P5" s="123" t="s">
        <v>216</v>
      </c>
      <c r="Q5" s="238"/>
      <c r="R5" s="238"/>
      <c r="S5" s="124" t="s">
        <v>217</v>
      </c>
      <c r="T5" s="125" t="s">
        <v>218</v>
      </c>
      <c r="U5" s="226"/>
    </row>
    <row r="6" spans="1:21" x14ac:dyDescent="0.2">
      <c r="A6" s="126">
        <v>81</v>
      </c>
      <c r="B6" s="126" t="s">
        <v>333</v>
      </c>
      <c r="C6" s="126" t="s">
        <v>334</v>
      </c>
      <c r="D6" s="126" t="s">
        <v>221</v>
      </c>
      <c r="E6" s="126"/>
      <c r="F6" s="126">
        <v>400004</v>
      </c>
      <c r="G6" s="128">
        <v>99352</v>
      </c>
      <c r="H6" s="128">
        <v>97393</v>
      </c>
      <c r="I6" s="128">
        <v>9376</v>
      </c>
      <c r="J6" s="128">
        <v>47363</v>
      </c>
      <c r="K6" s="128">
        <v>4063</v>
      </c>
      <c r="L6" s="128">
        <v>28038</v>
      </c>
      <c r="M6" s="128">
        <v>6967</v>
      </c>
      <c r="N6" s="128">
        <v>1431</v>
      </c>
      <c r="O6" s="128">
        <v>94</v>
      </c>
      <c r="P6" s="128">
        <v>61</v>
      </c>
      <c r="Q6" s="128">
        <f>SUM(L6:P6)</f>
        <v>36591</v>
      </c>
      <c r="R6" s="128">
        <v>1959</v>
      </c>
      <c r="S6" s="128">
        <v>1195</v>
      </c>
      <c r="T6" s="128">
        <v>764</v>
      </c>
      <c r="U6" s="135"/>
    </row>
    <row r="7" spans="1:21" x14ac:dyDescent="0.2">
      <c r="A7" s="126">
        <v>82</v>
      </c>
      <c r="B7" s="126" t="s">
        <v>335</v>
      </c>
      <c r="C7" s="126" t="s">
        <v>336</v>
      </c>
      <c r="D7" s="126" t="s">
        <v>221</v>
      </c>
      <c r="E7" s="126"/>
      <c r="F7" s="126">
        <v>1585704</v>
      </c>
      <c r="G7" s="128">
        <v>240831</v>
      </c>
      <c r="H7" s="128">
        <v>212752</v>
      </c>
      <c r="I7" s="128">
        <v>97948</v>
      </c>
      <c r="J7" s="128">
        <v>96979</v>
      </c>
      <c r="K7" s="128">
        <v>6231</v>
      </c>
      <c r="L7" s="128">
        <v>2637</v>
      </c>
      <c r="M7" s="128">
        <v>595</v>
      </c>
      <c r="N7" s="128">
        <v>6548</v>
      </c>
      <c r="O7" s="128">
        <v>1118</v>
      </c>
      <c r="P7" s="128">
        <v>696</v>
      </c>
      <c r="Q7" s="128">
        <f t="shared" ref="Q7:Q70" si="0">SUM(L7:P7)</f>
        <v>11594</v>
      </c>
      <c r="R7" s="128">
        <v>28079</v>
      </c>
      <c r="S7" s="128">
        <v>7790</v>
      </c>
      <c r="T7" s="128">
        <v>20289</v>
      </c>
      <c r="U7" s="135"/>
    </row>
    <row r="8" spans="1:21" x14ac:dyDescent="0.2">
      <c r="A8" s="126">
        <v>17</v>
      </c>
      <c r="B8" s="126" t="s">
        <v>249</v>
      </c>
      <c r="C8" s="131" t="s">
        <v>250</v>
      </c>
      <c r="D8" s="126" t="s">
        <v>221</v>
      </c>
      <c r="E8" s="127"/>
      <c r="F8" s="132">
        <v>5577940</v>
      </c>
      <c r="G8" s="128">
        <v>1176055</v>
      </c>
      <c r="H8" s="128">
        <v>1095924</v>
      </c>
      <c r="I8" s="128">
        <v>1006044</v>
      </c>
      <c r="J8" s="128">
        <v>78042</v>
      </c>
      <c r="K8" s="128">
        <v>2814</v>
      </c>
      <c r="L8" s="128">
        <v>5795</v>
      </c>
      <c r="M8" s="128">
        <v>696</v>
      </c>
      <c r="N8" s="128">
        <v>1614</v>
      </c>
      <c r="O8" s="128">
        <v>188</v>
      </c>
      <c r="P8" s="128">
        <v>731</v>
      </c>
      <c r="Q8" s="128">
        <f t="shared" si="0"/>
        <v>9024</v>
      </c>
      <c r="R8" s="128">
        <v>80131</v>
      </c>
      <c r="S8" s="128">
        <v>48817</v>
      </c>
      <c r="T8" s="128">
        <v>31314</v>
      </c>
      <c r="U8" s="135"/>
    </row>
    <row r="9" spans="1:21" x14ac:dyDescent="0.2">
      <c r="A9" s="126">
        <v>54</v>
      </c>
      <c r="B9" s="126" t="s">
        <v>297</v>
      </c>
      <c r="C9" s="126" t="s">
        <v>298</v>
      </c>
      <c r="D9" s="126" t="s">
        <v>221</v>
      </c>
      <c r="E9" s="127" t="s">
        <v>236</v>
      </c>
      <c r="F9" s="126">
        <v>291000</v>
      </c>
      <c r="G9" s="128">
        <v>60165</v>
      </c>
      <c r="H9" s="128">
        <v>59857</v>
      </c>
      <c r="I9" s="128">
        <v>2437</v>
      </c>
      <c r="J9" s="128">
        <v>50863</v>
      </c>
      <c r="K9" s="128">
        <v>1538</v>
      </c>
      <c r="L9" s="128">
        <v>2467</v>
      </c>
      <c r="M9" s="128">
        <v>2080</v>
      </c>
      <c r="N9" s="128">
        <v>471</v>
      </c>
      <c r="O9" s="128">
        <v>0</v>
      </c>
      <c r="P9" s="128">
        <v>1</v>
      </c>
      <c r="Q9" s="128">
        <f t="shared" si="0"/>
        <v>5019</v>
      </c>
      <c r="R9" s="128">
        <v>308</v>
      </c>
      <c r="S9" s="128">
        <v>122</v>
      </c>
      <c r="T9" s="128">
        <v>186</v>
      </c>
      <c r="U9" s="135"/>
    </row>
    <row r="10" spans="1:21" x14ac:dyDescent="0.2">
      <c r="A10" s="126">
        <v>62</v>
      </c>
      <c r="B10" s="126" t="s">
        <v>310</v>
      </c>
      <c r="C10" s="126" t="s">
        <v>311</v>
      </c>
      <c r="D10" s="126" t="s">
        <v>221</v>
      </c>
      <c r="E10" s="127"/>
      <c r="F10" s="126">
        <v>551360</v>
      </c>
      <c r="G10" s="128">
        <v>103208</v>
      </c>
      <c r="H10" s="128">
        <v>94461</v>
      </c>
      <c r="I10" s="128">
        <v>9598</v>
      </c>
      <c r="J10" s="128">
        <v>80404</v>
      </c>
      <c r="K10" s="128">
        <v>1274</v>
      </c>
      <c r="L10" s="128">
        <v>267</v>
      </c>
      <c r="M10" s="128">
        <v>56</v>
      </c>
      <c r="N10" s="128">
        <v>2684</v>
      </c>
      <c r="O10" s="128">
        <v>78</v>
      </c>
      <c r="P10" s="128">
        <v>100</v>
      </c>
      <c r="Q10" s="128">
        <f t="shared" si="0"/>
        <v>3185</v>
      </c>
      <c r="R10" s="128">
        <v>8747</v>
      </c>
      <c r="S10" s="128">
        <v>1799</v>
      </c>
      <c r="T10" s="128">
        <v>6948</v>
      </c>
      <c r="U10" s="135"/>
    </row>
    <row r="11" spans="1:21" x14ac:dyDescent="0.2">
      <c r="A11" s="126">
        <v>83</v>
      </c>
      <c r="B11" s="126" t="s">
        <v>335</v>
      </c>
      <c r="C11" s="126" t="s">
        <v>337</v>
      </c>
      <c r="D11" s="126" t="s">
        <v>221</v>
      </c>
      <c r="E11" s="126"/>
      <c r="F11" s="126">
        <v>874408</v>
      </c>
      <c r="G11" s="128">
        <v>143062</v>
      </c>
      <c r="H11" s="128">
        <v>130549</v>
      </c>
      <c r="I11" s="128">
        <v>26138</v>
      </c>
      <c r="J11" s="128">
        <v>86342</v>
      </c>
      <c r="K11" s="128">
        <v>7493</v>
      </c>
      <c r="L11" s="128">
        <v>4461</v>
      </c>
      <c r="M11" s="128">
        <v>828</v>
      </c>
      <c r="N11" s="128">
        <v>3200</v>
      </c>
      <c r="O11" s="128">
        <v>1375</v>
      </c>
      <c r="P11" s="128">
        <v>712</v>
      </c>
      <c r="Q11" s="128">
        <f t="shared" si="0"/>
        <v>10576</v>
      </c>
      <c r="R11" s="128">
        <v>12513</v>
      </c>
      <c r="S11" s="128">
        <v>3518</v>
      </c>
      <c r="T11" s="128">
        <v>8995</v>
      </c>
      <c r="U11" s="135"/>
    </row>
    <row r="12" spans="1:21" x14ac:dyDescent="0.2">
      <c r="A12" s="126">
        <v>84</v>
      </c>
      <c r="B12" s="126" t="s">
        <v>335</v>
      </c>
      <c r="C12" s="126" t="s">
        <v>338</v>
      </c>
      <c r="D12" s="126" t="s">
        <v>221</v>
      </c>
      <c r="E12" s="126"/>
      <c r="F12" s="126">
        <v>1112544</v>
      </c>
      <c r="G12" s="128">
        <v>155071</v>
      </c>
      <c r="H12" s="128">
        <v>144221</v>
      </c>
      <c r="I12" s="128">
        <v>94760</v>
      </c>
      <c r="J12" s="128">
        <v>44228</v>
      </c>
      <c r="K12" s="128">
        <v>2109</v>
      </c>
      <c r="L12" s="128">
        <v>1298</v>
      </c>
      <c r="M12" s="128">
        <v>207</v>
      </c>
      <c r="N12" s="128">
        <v>1114</v>
      </c>
      <c r="O12" s="128">
        <v>39</v>
      </c>
      <c r="P12" s="128">
        <v>466</v>
      </c>
      <c r="Q12" s="128">
        <f t="shared" si="0"/>
        <v>3124</v>
      </c>
      <c r="R12" s="128">
        <v>10850</v>
      </c>
      <c r="S12" s="128">
        <v>2744</v>
      </c>
      <c r="T12" s="128">
        <v>8106</v>
      </c>
      <c r="U12" s="135"/>
    </row>
    <row r="13" spans="1:21" x14ac:dyDescent="0.2">
      <c r="A13" s="126">
        <v>42</v>
      </c>
      <c r="B13" s="131" t="s">
        <v>282</v>
      </c>
      <c r="C13" s="131" t="s">
        <v>283</v>
      </c>
      <c r="D13" s="126" t="s">
        <v>221</v>
      </c>
      <c r="E13" s="127"/>
      <c r="F13" s="132">
        <v>745000</v>
      </c>
      <c r="G13" s="128">
        <v>133562</v>
      </c>
      <c r="H13" s="128">
        <v>111152</v>
      </c>
      <c r="I13" s="128">
        <v>9460</v>
      </c>
      <c r="J13" s="128">
        <v>94252</v>
      </c>
      <c r="K13" s="128">
        <v>1779</v>
      </c>
      <c r="L13" s="128">
        <v>3548</v>
      </c>
      <c r="M13" s="128">
        <v>1118</v>
      </c>
      <c r="N13" s="128">
        <v>698</v>
      </c>
      <c r="O13" s="128">
        <v>59</v>
      </c>
      <c r="P13" s="128">
        <v>238</v>
      </c>
      <c r="Q13" s="128">
        <f t="shared" si="0"/>
        <v>5661</v>
      </c>
      <c r="R13" s="128">
        <v>22410</v>
      </c>
      <c r="S13" s="128">
        <v>13771</v>
      </c>
      <c r="T13" s="128">
        <v>8639</v>
      </c>
      <c r="U13" s="135"/>
    </row>
    <row r="14" spans="1:21" x14ac:dyDescent="0.2">
      <c r="A14" s="126">
        <v>59</v>
      </c>
      <c r="B14" s="126" t="s">
        <v>306</v>
      </c>
      <c r="C14" s="126" t="s">
        <v>307</v>
      </c>
      <c r="D14" s="126" t="s">
        <v>221</v>
      </c>
      <c r="E14" s="127"/>
      <c r="F14" s="126">
        <v>1155664</v>
      </c>
      <c r="G14" s="128">
        <v>237346</v>
      </c>
      <c r="H14" s="128">
        <v>224820</v>
      </c>
      <c r="I14" s="128">
        <v>187822</v>
      </c>
      <c r="J14" s="128">
        <v>22460</v>
      </c>
      <c r="K14" s="128">
        <v>4082</v>
      </c>
      <c r="L14" s="128">
        <v>8752</v>
      </c>
      <c r="M14" s="128">
        <v>330</v>
      </c>
      <c r="N14" s="128">
        <v>1254</v>
      </c>
      <c r="O14" s="128">
        <v>0</v>
      </c>
      <c r="P14" s="128">
        <v>120</v>
      </c>
      <c r="Q14" s="128">
        <f t="shared" si="0"/>
        <v>10456</v>
      </c>
      <c r="R14" s="128">
        <v>12526</v>
      </c>
      <c r="S14" s="128">
        <v>1282</v>
      </c>
      <c r="T14" s="128">
        <v>11244</v>
      </c>
      <c r="U14" s="135"/>
    </row>
    <row r="15" spans="1:21" x14ac:dyDescent="0.2">
      <c r="A15" s="126">
        <v>43</v>
      </c>
      <c r="B15" s="131" t="s">
        <v>282</v>
      </c>
      <c r="C15" s="131" t="s">
        <v>284</v>
      </c>
      <c r="D15" s="126" t="s">
        <v>221</v>
      </c>
      <c r="E15" s="127"/>
      <c r="F15" s="132">
        <v>1165000</v>
      </c>
      <c r="G15" s="128">
        <v>226073</v>
      </c>
      <c r="H15" s="128">
        <v>211127</v>
      </c>
      <c r="I15" s="128">
        <v>183841</v>
      </c>
      <c r="J15" s="128">
        <v>13550</v>
      </c>
      <c r="K15" s="128">
        <v>916</v>
      </c>
      <c r="L15" s="128">
        <v>3477</v>
      </c>
      <c r="M15" s="128">
        <v>466</v>
      </c>
      <c r="N15" s="128">
        <v>6958</v>
      </c>
      <c r="O15" s="128">
        <v>0</v>
      </c>
      <c r="P15" s="128">
        <v>1919</v>
      </c>
      <c r="Q15" s="128">
        <f t="shared" si="0"/>
        <v>12820</v>
      </c>
      <c r="R15" s="128">
        <v>14946</v>
      </c>
      <c r="S15" s="128">
        <v>2949</v>
      </c>
      <c r="T15" s="128">
        <v>11997</v>
      </c>
      <c r="U15" s="135"/>
    </row>
    <row r="16" spans="1:21" x14ac:dyDescent="0.2">
      <c r="A16" s="126">
        <v>116</v>
      </c>
      <c r="B16" s="126" t="s">
        <v>350</v>
      </c>
      <c r="C16" s="126" t="s">
        <v>373</v>
      </c>
      <c r="D16" s="126" t="s">
        <v>356</v>
      </c>
      <c r="E16" s="133" t="s">
        <v>236</v>
      </c>
      <c r="F16" s="134">
        <v>103920</v>
      </c>
      <c r="G16" s="128">
        <v>23316</v>
      </c>
      <c r="H16" s="128">
        <v>18803</v>
      </c>
      <c r="I16" s="128">
        <v>1326</v>
      </c>
      <c r="J16" s="128">
        <v>7897</v>
      </c>
      <c r="K16" s="128">
        <v>252</v>
      </c>
      <c r="L16" s="128">
        <v>9251</v>
      </c>
      <c r="M16" s="128">
        <v>49</v>
      </c>
      <c r="N16" s="128">
        <v>25</v>
      </c>
      <c r="O16" s="128">
        <v>0</v>
      </c>
      <c r="P16" s="128">
        <v>3</v>
      </c>
      <c r="Q16" s="128">
        <f t="shared" si="0"/>
        <v>9328</v>
      </c>
      <c r="R16" s="128">
        <v>4513</v>
      </c>
      <c r="S16" s="128">
        <v>3880</v>
      </c>
      <c r="T16" s="128">
        <v>633</v>
      </c>
      <c r="U16" s="135"/>
    </row>
    <row r="17" spans="1:21" x14ac:dyDescent="0.2">
      <c r="A17" s="126">
        <v>85</v>
      </c>
      <c r="B17" s="126" t="s">
        <v>335</v>
      </c>
      <c r="C17" s="126" t="s">
        <v>339</v>
      </c>
      <c r="D17" s="126" t="s">
        <v>221</v>
      </c>
      <c r="E17" s="126"/>
      <c r="F17" s="126">
        <v>903668</v>
      </c>
      <c r="G17" s="128">
        <v>164522</v>
      </c>
      <c r="H17" s="128">
        <v>157787</v>
      </c>
      <c r="I17" s="128">
        <v>75015</v>
      </c>
      <c r="J17" s="128">
        <v>69672</v>
      </c>
      <c r="K17" s="128">
        <v>3468</v>
      </c>
      <c r="L17" s="128">
        <v>4081</v>
      </c>
      <c r="M17" s="128">
        <v>1400</v>
      </c>
      <c r="N17" s="128">
        <v>1253</v>
      </c>
      <c r="O17" s="128">
        <v>2341</v>
      </c>
      <c r="P17" s="128">
        <v>557</v>
      </c>
      <c r="Q17" s="128">
        <f t="shared" si="0"/>
        <v>9632</v>
      </c>
      <c r="R17" s="128">
        <v>6735</v>
      </c>
      <c r="S17" s="128">
        <v>1387</v>
      </c>
      <c r="T17" s="128">
        <v>5348</v>
      </c>
      <c r="U17" s="135"/>
    </row>
    <row r="18" spans="1:21" x14ac:dyDescent="0.2">
      <c r="A18" s="126">
        <v>27</v>
      </c>
      <c r="B18" s="126" t="s">
        <v>263</v>
      </c>
      <c r="C18" s="126" t="s">
        <v>264</v>
      </c>
      <c r="D18" s="126" t="s">
        <v>221</v>
      </c>
      <c r="E18" s="127"/>
      <c r="F18" s="126">
        <v>488292</v>
      </c>
      <c r="G18" s="128">
        <v>109159</v>
      </c>
      <c r="H18" s="128">
        <v>101752</v>
      </c>
      <c r="I18" s="128">
        <v>69892</v>
      </c>
      <c r="J18" s="128">
        <v>28466</v>
      </c>
      <c r="K18" s="128">
        <v>1459</v>
      </c>
      <c r="L18" s="128">
        <v>373</v>
      </c>
      <c r="M18" s="128">
        <v>184</v>
      </c>
      <c r="N18" s="128">
        <v>1258</v>
      </c>
      <c r="O18" s="128">
        <v>14</v>
      </c>
      <c r="P18" s="128">
        <v>106</v>
      </c>
      <c r="Q18" s="128">
        <f t="shared" si="0"/>
        <v>1935</v>
      </c>
      <c r="R18" s="128">
        <v>7407</v>
      </c>
      <c r="S18" s="128">
        <v>2564</v>
      </c>
      <c r="T18" s="128">
        <v>4843</v>
      </c>
      <c r="U18" s="135"/>
    </row>
    <row r="19" spans="1:21" x14ac:dyDescent="0.2">
      <c r="A19" s="126">
        <v>7</v>
      </c>
      <c r="B19" s="126" t="s">
        <v>231</v>
      </c>
      <c r="C19" s="126" t="s">
        <v>232</v>
      </c>
      <c r="D19" s="126" t="s">
        <v>221</v>
      </c>
      <c r="E19" s="127" t="s">
        <v>233</v>
      </c>
      <c r="F19" s="126">
        <v>410210</v>
      </c>
      <c r="G19" s="128">
        <v>68193</v>
      </c>
      <c r="H19" s="128">
        <v>55691</v>
      </c>
      <c r="I19" s="128">
        <v>4711</v>
      </c>
      <c r="J19" s="128">
        <v>37961</v>
      </c>
      <c r="K19" s="128">
        <v>5171</v>
      </c>
      <c r="L19" s="128">
        <v>4944</v>
      </c>
      <c r="M19" s="128">
        <v>1472</v>
      </c>
      <c r="N19" s="128">
        <v>1077</v>
      </c>
      <c r="O19" s="128">
        <v>154</v>
      </c>
      <c r="P19" s="128">
        <v>201</v>
      </c>
      <c r="Q19" s="128">
        <f t="shared" si="0"/>
        <v>7848</v>
      </c>
      <c r="R19" s="128">
        <v>12502</v>
      </c>
      <c r="S19" s="128">
        <v>1697</v>
      </c>
      <c r="T19" s="128">
        <v>10805</v>
      </c>
      <c r="U19" s="135"/>
    </row>
    <row r="20" spans="1:21" x14ac:dyDescent="0.2">
      <c r="A20" s="126">
        <v>35</v>
      </c>
      <c r="B20" s="126" t="s">
        <v>274</v>
      </c>
      <c r="C20" s="126" t="s">
        <v>275</v>
      </c>
      <c r="D20" s="126" t="s">
        <v>221</v>
      </c>
      <c r="E20" s="127"/>
      <c r="F20" s="126">
        <v>1922130</v>
      </c>
      <c r="G20" s="128">
        <v>371722</v>
      </c>
      <c r="H20" s="128">
        <v>313703</v>
      </c>
      <c r="I20" s="128">
        <v>149686</v>
      </c>
      <c r="J20" s="128">
        <v>151090</v>
      </c>
      <c r="K20" s="128">
        <v>4465</v>
      </c>
      <c r="L20" s="128">
        <v>2209</v>
      </c>
      <c r="M20" s="128">
        <v>1376</v>
      </c>
      <c r="N20" s="128">
        <v>4218</v>
      </c>
      <c r="O20" s="128">
        <v>141</v>
      </c>
      <c r="P20" s="128">
        <v>518</v>
      </c>
      <c r="Q20" s="128">
        <f t="shared" si="0"/>
        <v>8462</v>
      </c>
      <c r="R20" s="128">
        <v>58019</v>
      </c>
      <c r="S20" s="128">
        <v>11773</v>
      </c>
      <c r="T20" s="128">
        <v>46246</v>
      </c>
      <c r="U20" s="135"/>
    </row>
    <row r="21" spans="1:21" x14ac:dyDescent="0.2">
      <c r="A21" s="126">
        <v>56</v>
      </c>
      <c r="B21" s="126" t="s">
        <v>301</v>
      </c>
      <c r="C21" s="126" t="s">
        <v>302</v>
      </c>
      <c r="D21" s="126" t="s">
        <v>221</v>
      </c>
      <c r="E21" s="127"/>
      <c r="F21" s="126">
        <v>840834</v>
      </c>
      <c r="G21" s="128">
        <v>201873</v>
      </c>
      <c r="H21" s="128">
        <v>161836</v>
      </c>
      <c r="I21" s="128">
        <v>53858</v>
      </c>
      <c r="J21" s="128">
        <v>83608</v>
      </c>
      <c r="K21" s="128">
        <v>8469</v>
      </c>
      <c r="L21" s="128">
        <v>9110</v>
      </c>
      <c r="M21" s="128">
        <v>2278</v>
      </c>
      <c r="N21" s="128">
        <v>2176</v>
      </c>
      <c r="O21" s="128">
        <v>1621</v>
      </c>
      <c r="P21" s="128">
        <v>716</v>
      </c>
      <c r="Q21" s="128">
        <f t="shared" si="0"/>
        <v>15901</v>
      </c>
      <c r="R21" s="128">
        <v>40037</v>
      </c>
      <c r="S21" s="128">
        <v>5229</v>
      </c>
      <c r="T21" s="128">
        <v>34808</v>
      </c>
      <c r="U21" s="135"/>
    </row>
    <row r="22" spans="1:21" x14ac:dyDescent="0.2">
      <c r="A22" s="126">
        <v>95</v>
      </c>
      <c r="B22" s="126" t="s">
        <v>350</v>
      </c>
      <c r="C22" s="126" t="s">
        <v>351</v>
      </c>
      <c r="D22" s="126" t="s">
        <v>221</v>
      </c>
      <c r="E22" s="126"/>
      <c r="F22" s="126">
        <v>633704</v>
      </c>
      <c r="G22" s="128">
        <v>40375</v>
      </c>
      <c r="H22" s="128">
        <v>34018</v>
      </c>
      <c r="I22" s="128">
        <v>21993</v>
      </c>
      <c r="J22" s="128">
        <v>7842</v>
      </c>
      <c r="K22" s="128">
        <v>797</v>
      </c>
      <c r="L22" s="128">
        <v>3013</v>
      </c>
      <c r="M22" s="128">
        <v>35</v>
      </c>
      <c r="N22" s="128">
        <v>226</v>
      </c>
      <c r="O22" s="128">
        <v>29</v>
      </c>
      <c r="P22" s="128">
        <v>83</v>
      </c>
      <c r="Q22" s="128">
        <f t="shared" si="0"/>
        <v>3386</v>
      </c>
      <c r="R22" s="128">
        <v>6357</v>
      </c>
      <c r="S22" s="128">
        <v>5958</v>
      </c>
      <c r="T22" s="128">
        <v>399</v>
      </c>
      <c r="U22" s="135" t="s">
        <v>230</v>
      </c>
    </row>
    <row r="23" spans="1:21" x14ac:dyDescent="0.2">
      <c r="A23" s="126">
        <v>8</v>
      </c>
      <c r="B23" s="126" t="s">
        <v>231</v>
      </c>
      <c r="C23" s="126" t="s">
        <v>234</v>
      </c>
      <c r="D23" s="126" t="s">
        <v>221</v>
      </c>
      <c r="E23" s="127"/>
      <c r="F23" s="126">
        <v>296889</v>
      </c>
      <c r="G23" s="128">
        <v>48353</v>
      </c>
      <c r="H23" s="128">
        <v>39847</v>
      </c>
      <c r="I23" s="128">
        <v>3354</v>
      </c>
      <c r="J23" s="128">
        <v>31659</v>
      </c>
      <c r="K23" s="128">
        <v>1325</v>
      </c>
      <c r="L23" s="128">
        <v>2049</v>
      </c>
      <c r="M23" s="128">
        <v>876</v>
      </c>
      <c r="N23" s="128">
        <v>238</v>
      </c>
      <c r="O23" s="128">
        <v>288</v>
      </c>
      <c r="P23" s="128">
        <v>58</v>
      </c>
      <c r="Q23" s="128">
        <f t="shared" si="0"/>
        <v>3509</v>
      </c>
      <c r="R23" s="128">
        <v>8506</v>
      </c>
      <c r="S23" s="128">
        <v>659</v>
      </c>
      <c r="T23" s="128">
        <v>7847</v>
      </c>
      <c r="U23" s="135"/>
    </row>
    <row r="24" spans="1:21" x14ac:dyDescent="0.2">
      <c r="A24" s="126">
        <v>109</v>
      </c>
      <c r="B24" s="126" t="s">
        <v>335</v>
      </c>
      <c r="C24" s="131" t="s">
        <v>366</v>
      </c>
      <c r="D24" s="126" t="s">
        <v>356</v>
      </c>
      <c r="E24" s="133" t="s">
        <v>236</v>
      </c>
      <c r="F24" s="126">
        <v>93297</v>
      </c>
      <c r="G24" s="128">
        <v>17727</v>
      </c>
      <c r="H24" s="128">
        <v>17011</v>
      </c>
      <c r="I24" s="128">
        <v>3556</v>
      </c>
      <c r="J24" s="128">
        <v>12504</v>
      </c>
      <c r="K24" s="128">
        <v>87</v>
      </c>
      <c r="L24" s="128">
        <v>402</v>
      </c>
      <c r="M24" s="128">
        <v>54</v>
      </c>
      <c r="N24" s="128">
        <v>98</v>
      </c>
      <c r="O24" s="128">
        <v>109</v>
      </c>
      <c r="P24" s="128">
        <v>201</v>
      </c>
      <c r="Q24" s="128">
        <f t="shared" si="0"/>
        <v>864</v>
      </c>
      <c r="R24" s="128">
        <v>716</v>
      </c>
      <c r="S24" s="128">
        <v>462</v>
      </c>
      <c r="T24" s="128">
        <v>254</v>
      </c>
      <c r="U24" s="135"/>
    </row>
    <row r="25" spans="1:21" x14ac:dyDescent="0.2">
      <c r="A25" s="126">
        <v>108</v>
      </c>
      <c r="B25" s="126" t="s">
        <v>310</v>
      </c>
      <c r="C25" s="131" t="s">
        <v>365</v>
      </c>
      <c r="D25" s="126" t="s">
        <v>356</v>
      </c>
      <c r="E25" s="133" t="s">
        <v>236</v>
      </c>
      <c r="F25" s="134">
        <v>644406</v>
      </c>
      <c r="G25" s="128">
        <v>109041</v>
      </c>
      <c r="H25" s="128">
        <v>103128</v>
      </c>
      <c r="I25" s="128">
        <v>44623</v>
      </c>
      <c r="J25" s="128">
        <v>29051</v>
      </c>
      <c r="K25" s="128">
        <v>7031</v>
      </c>
      <c r="L25" s="128">
        <v>3589</v>
      </c>
      <c r="M25" s="128">
        <v>474</v>
      </c>
      <c r="N25" s="128">
        <v>18039</v>
      </c>
      <c r="O25" s="128">
        <v>17</v>
      </c>
      <c r="P25" s="128">
        <v>304</v>
      </c>
      <c r="Q25" s="128">
        <f t="shared" si="0"/>
        <v>22423</v>
      </c>
      <c r="R25" s="128">
        <v>5913</v>
      </c>
      <c r="S25" s="128">
        <v>402</v>
      </c>
      <c r="T25" s="128">
        <v>5511</v>
      </c>
      <c r="U25" s="135"/>
    </row>
    <row r="26" spans="1:21" x14ac:dyDescent="0.2">
      <c r="A26" s="126">
        <v>11</v>
      </c>
      <c r="B26" s="126" t="s">
        <v>238</v>
      </c>
      <c r="C26" s="126" t="s">
        <v>239</v>
      </c>
      <c r="D26" s="126" t="s">
        <v>221</v>
      </c>
      <c r="E26" s="127"/>
      <c r="F26" s="126">
        <v>365579</v>
      </c>
      <c r="G26" s="128">
        <v>74930</v>
      </c>
      <c r="H26" s="128">
        <v>58033</v>
      </c>
      <c r="I26" s="128">
        <v>2751</v>
      </c>
      <c r="J26" s="128">
        <v>54257</v>
      </c>
      <c r="K26" s="128">
        <v>459</v>
      </c>
      <c r="L26" s="128">
        <v>269</v>
      </c>
      <c r="M26" s="128">
        <v>112</v>
      </c>
      <c r="N26" s="128">
        <v>150</v>
      </c>
      <c r="O26" s="128">
        <v>13</v>
      </c>
      <c r="P26" s="128">
        <v>22</v>
      </c>
      <c r="Q26" s="128">
        <f t="shared" si="0"/>
        <v>566</v>
      </c>
      <c r="R26" s="128">
        <v>16897</v>
      </c>
      <c r="S26" s="128">
        <v>8148</v>
      </c>
      <c r="T26" s="128">
        <v>8749</v>
      </c>
      <c r="U26" s="135"/>
    </row>
    <row r="27" spans="1:21" x14ac:dyDescent="0.2">
      <c r="A27" s="126">
        <v>117</v>
      </c>
      <c r="B27" s="126" t="s">
        <v>350</v>
      </c>
      <c r="C27" s="126" t="s">
        <v>374</v>
      </c>
      <c r="D27" s="126" t="s">
        <v>356</v>
      </c>
      <c r="E27" s="133" t="s">
        <v>236</v>
      </c>
      <c r="F27" s="134">
        <v>108864</v>
      </c>
      <c r="G27" s="128">
        <v>26129</v>
      </c>
      <c r="H27" s="128">
        <v>24616</v>
      </c>
      <c r="I27" s="128">
        <v>1162</v>
      </c>
      <c r="J27" s="128">
        <v>6343</v>
      </c>
      <c r="K27" s="128">
        <v>870</v>
      </c>
      <c r="L27" s="128">
        <v>15297</v>
      </c>
      <c r="M27" s="128">
        <v>780</v>
      </c>
      <c r="N27" s="128">
        <v>25</v>
      </c>
      <c r="O27" s="128">
        <v>61</v>
      </c>
      <c r="P27" s="128">
        <v>78</v>
      </c>
      <c r="Q27" s="128">
        <f t="shared" si="0"/>
        <v>16241</v>
      </c>
      <c r="R27" s="128">
        <v>1513</v>
      </c>
      <c r="S27" s="128">
        <v>913</v>
      </c>
      <c r="T27" s="128">
        <v>600</v>
      </c>
      <c r="U27" s="135"/>
    </row>
    <row r="28" spans="1:21" x14ac:dyDescent="0.2">
      <c r="A28" s="126">
        <v>102</v>
      </c>
      <c r="B28" s="126" t="s">
        <v>231</v>
      </c>
      <c r="C28" s="126" t="s">
        <v>359</v>
      </c>
      <c r="D28" s="126" t="s">
        <v>356</v>
      </c>
      <c r="E28" s="133" t="s">
        <v>236</v>
      </c>
      <c r="F28" s="126">
        <v>102861</v>
      </c>
      <c r="G28" s="128">
        <v>16207</v>
      </c>
      <c r="H28" s="128">
        <v>12400</v>
      </c>
      <c r="I28" s="128">
        <v>800</v>
      </c>
      <c r="J28" s="128">
        <v>10932</v>
      </c>
      <c r="K28" s="128">
        <v>252</v>
      </c>
      <c r="L28" s="128">
        <v>232</v>
      </c>
      <c r="M28" s="128">
        <v>65</v>
      </c>
      <c r="N28" s="128">
        <v>41</v>
      </c>
      <c r="O28" s="128">
        <v>0</v>
      </c>
      <c r="P28" s="128">
        <v>78</v>
      </c>
      <c r="Q28" s="128">
        <f t="shared" si="0"/>
        <v>416</v>
      </c>
      <c r="R28" s="128">
        <v>3807</v>
      </c>
      <c r="S28" s="128">
        <v>257</v>
      </c>
      <c r="T28" s="128">
        <v>3550</v>
      </c>
      <c r="U28" s="135"/>
    </row>
    <row r="29" spans="1:21" x14ac:dyDescent="0.2">
      <c r="A29" s="126">
        <v>10</v>
      </c>
      <c r="B29" s="126" t="s">
        <v>237</v>
      </c>
      <c r="C29" s="126" t="s">
        <v>237</v>
      </c>
      <c r="D29" s="126" t="s">
        <v>221</v>
      </c>
      <c r="E29" s="127"/>
      <c r="F29" s="126">
        <v>1055450</v>
      </c>
      <c r="G29" s="128">
        <v>214973</v>
      </c>
      <c r="H29" s="128">
        <v>187624</v>
      </c>
      <c r="I29" s="128">
        <v>184341</v>
      </c>
      <c r="J29" s="128">
        <v>1638</v>
      </c>
      <c r="K29" s="128">
        <v>488</v>
      </c>
      <c r="L29" s="128">
        <v>915</v>
      </c>
      <c r="M29" s="128">
        <v>212</v>
      </c>
      <c r="N29" s="128">
        <v>11</v>
      </c>
      <c r="O29" s="128">
        <v>0</v>
      </c>
      <c r="P29" s="128">
        <v>19</v>
      </c>
      <c r="Q29" s="128">
        <f t="shared" si="0"/>
        <v>1157</v>
      </c>
      <c r="R29" s="128">
        <v>27349</v>
      </c>
      <c r="S29" s="128">
        <v>20952</v>
      </c>
      <c r="T29" s="128">
        <v>6397</v>
      </c>
      <c r="U29" s="135"/>
    </row>
    <row r="30" spans="1:21" x14ac:dyDescent="0.2">
      <c r="A30" s="126">
        <v>67</v>
      </c>
      <c r="B30" s="126" t="s">
        <v>317</v>
      </c>
      <c r="C30" s="126" t="s">
        <v>318</v>
      </c>
      <c r="D30" s="126" t="s">
        <v>221</v>
      </c>
      <c r="E30" s="127"/>
      <c r="F30" s="126">
        <v>6727000</v>
      </c>
      <c r="G30" s="128">
        <v>1106567</v>
      </c>
      <c r="H30" s="128">
        <v>1057802</v>
      </c>
      <c r="I30" s="128">
        <v>1026027</v>
      </c>
      <c r="J30" s="128">
        <v>17821</v>
      </c>
      <c r="K30" s="128">
        <v>2587</v>
      </c>
      <c r="L30" s="128">
        <v>5650</v>
      </c>
      <c r="M30" s="128">
        <v>1790</v>
      </c>
      <c r="N30" s="128">
        <v>2888</v>
      </c>
      <c r="O30" s="128">
        <v>463</v>
      </c>
      <c r="P30" s="128">
        <v>576</v>
      </c>
      <c r="Q30" s="128">
        <f t="shared" si="0"/>
        <v>11367</v>
      </c>
      <c r="R30" s="128">
        <v>48765</v>
      </c>
      <c r="S30" s="128">
        <v>42212</v>
      </c>
      <c r="T30" s="128">
        <v>6553</v>
      </c>
      <c r="U30" s="135"/>
    </row>
    <row r="31" spans="1:21" x14ac:dyDescent="0.2">
      <c r="A31" s="126">
        <v>110</v>
      </c>
      <c r="B31" s="126" t="s">
        <v>335</v>
      </c>
      <c r="C31" s="131" t="s">
        <v>367</v>
      </c>
      <c r="D31" s="126" t="s">
        <v>356</v>
      </c>
      <c r="E31" s="133" t="s">
        <v>236</v>
      </c>
      <c r="F31" s="126">
        <v>37185</v>
      </c>
      <c r="G31" s="128">
        <v>5735</v>
      </c>
      <c r="H31" s="128">
        <v>3776</v>
      </c>
      <c r="I31" s="128">
        <v>516</v>
      </c>
      <c r="J31" s="128">
        <v>3037</v>
      </c>
      <c r="K31" s="128">
        <v>149</v>
      </c>
      <c r="L31" s="128">
        <v>43</v>
      </c>
      <c r="M31" s="128">
        <v>12</v>
      </c>
      <c r="N31" s="128">
        <v>13</v>
      </c>
      <c r="O31" s="128">
        <v>0</v>
      </c>
      <c r="P31" s="128">
        <v>6</v>
      </c>
      <c r="Q31" s="128">
        <f t="shared" si="0"/>
        <v>74</v>
      </c>
      <c r="R31" s="128">
        <v>1959</v>
      </c>
      <c r="S31" s="128">
        <v>180</v>
      </c>
      <c r="T31" s="128">
        <v>1779</v>
      </c>
      <c r="U31" s="135"/>
    </row>
    <row r="32" spans="1:21" x14ac:dyDescent="0.2">
      <c r="A32" s="126">
        <v>68</v>
      </c>
      <c r="B32" s="126" t="s">
        <v>317</v>
      </c>
      <c r="C32" s="126" t="s">
        <v>319</v>
      </c>
      <c r="D32" s="126" t="s">
        <v>221</v>
      </c>
      <c r="E32" s="127"/>
      <c r="F32" s="126">
        <v>1601438</v>
      </c>
      <c r="G32" s="128">
        <v>280560</v>
      </c>
      <c r="H32" s="128">
        <v>246369</v>
      </c>
      <c r="I32" s="128">
        <v>90934</v>
      </c>
      <c r="J32" s="128">
        <v>139570</v>
      </c>
      <c r="K32" s="128">
        <v>956</v>
      </c>
      <c r="L32" s="128">
        <v>11944</v>
      </c>
      <c r="M32" s="128">
        <v>492</v>
      </c>
      <c r="N32" s="128">
        <v>1823</v>
      </c>
      <c r="O32" s="128">
        <v>496</v>
      </c>
      <c r="P32" s="128">
        <v>154</v>
      </c>
      <c r="Q32" s="128">
        <f t="shared" si="0"/>
        <v>14909</v>
      </c>
      <c r="R32" s="128">
        <v>34191</v>
      </c>
      <c r="S32" s="128">
        <v>27297</v>
      </c>
      <c r="T32" s="128">
        <v>6894</v>
      </c>
      <c r="U32" s="135"/>
    </row>
    <row r="33" spans="1:21" x14ac:dyDescent="0.2">
      <c r="A33" s="126">
        <v>107</v>
      </c>
      <c r="B33" s="126" t="s">
        <v>301</v>
      </c>
      <c r="C33" s="126" t="s">
        <v>364</v>
      </c>
      <c r="D33" s="126" t="s">
        <v>356</v>
      </c>
      <c r="E33" s="133" t="s">
        <v>236</v>
      </c>
      <c r="F33" s="126">
        <v>610189</v>
      </c>
      <c r="G33" s="128">
        <v>116820</v>
      </c>
      <c r="H33" s="128">
        <v>98338</v>
      </c>
      <c r="I33" s="128">
        <v>21681</v>
      </c>
      <c r="J33" s="128">
        <v>69874</v>
      </c>
      <c r="K33" s="128">
        <v>1452</v>
      </c>
      <c r="L33" s="128">
        <v>2724</v>
      </c>
      <c r="M33" s="128">
        <v>349</v>
      </c>
      <c r="N33" s="128">
        <v>842</v>
      </c>
      <c r="O33" s="128">
        <v>653</v>
      </c>
      <c r="P33" s="128">
        <v>763</v>
      </c>
      <c r="Q33" s="128">
        <f t="shared" si="0"/>
        <v>5331</v>
      </c>
      <c r="R33" s="128">
        <v>18482</v>
      </c>
      <c r="S33" s="128">
        <v>5092</v>
      </c>
      <c r="T33" s="128">
        <v>13390</v>
      </c>
      <c r="U33" s="135"/>
    </row>
    <row r="34" spans="1:21" x14ac:dyDescent="0.2">
      <c r="A34" s="126">
        <v>18</v>
      </c>
      <c r="B34" s="126" t="s">
        <v>249</v>
      </c>
      <c r="C34" s="131" t="s">
        <v>251</v>
      </c>
      <c r="D34" s="126" t="s">
        <v>221</v>
      </c>
      <c r="E34" s="127"/>
      <c r="F34" s="132">
        <v>130530</v>
      </c>
      <c r="G34" s="128">
        <v>21101</v>
      </c>
      <c r="H34" s="128">
        <v>15998</v>
      </c>
      <c r="I34" s="128">
        <v>2933</v>
      </c>
      <c r="J34" s="128">
        <v>12839</v>
      </c>
      <c r="K34" s="128">
        <v>127</v>
      </c>
      <c r="L34" s="128">
        <v>47</v>
      </c>
      <c r="M34" s="128">
        <v>16</v>
      </c>
      <c r="N34" s="128">
        <v>20</v>
      </c>
      <c r="O34" s="128">
        <v>0</v>
      </c>
      <c r="P34" s="128">
        <v>16</v>
      </c>
      <c r="Q34" s="128">
        <f t="shared" si="0"/>
        <v>99</v>
      </c>
      <c r="R34" s="128">
        <v>5103</v>
      </c>
      <c r="S34" s="128">
        <v>711</v>
      </c>
      <c r="T34" s="128">
        <v>4392</v>
      </c>
      <c r="U34" s="135"/>
    </row>
    <row r="35" spans="1:21" x14ac:dyDescent="0.2">
      <c r="A35" s="126">
        <v>118</v>
      </c>
      <c r="B35" s="126" t="s">
        <v>350</v>
      </c>
      <c r="C35" s="126" t="s">
        <v>375</v>
      </c>
      <c r="D35" s="126" t="s">
        <v>356</v>
      </c>
      <c r="E35" s="133" t="s">
        <v>236</v>
      </c>
      <c r="F35" s="134">
        <v>118805</v>
      </c>
      <c r="G35" s="128">
        <v>17797</v>
      </c>
      <c r="H35" s="128">
        <v>13997</v>
      </c>
      <c r="I35" s="128">
        <v>8369</v>
      </c>
      <c r="J35" s="128">
        <v>4668</v>
      </c>
      <c r="K35" s="128">
        <v>724</v>
      </c>
      <c r="L35" s="128">
        <v>45</v>
      </c>
      <c r="M35" s="128">
        <v>29</v>
      </c>
      <c r="N35" s="128">
        <v>148</v>
      </c>
      <c r="O35" s="128">
        <v>0</v>
      </c>
      <c r="P35" s="128">
        <v>14</v>
      </c>
      <c r="Q35" s="128">
        <f t="shared" si="0"/>
        <v>236</v>
      </c>
      <c r="R35" s="128">
        <v>3800</v>
      </c>
      <c r="S35" s="128">
        <v>2845</v>
      </c>
      <c r="T35" s="128">
        <v>955</v>
      </c>
      <c r="U35" s="135"/>
    </row>
    <row r="36" spans="1:21" x14ac:dyDescent="0.2">
      <c r="A36" s="126">
        <v>28</v>
      </c>
      <c r="B36" s="126" t="s">
        <v>263</v>
      </c>
      <c r="C36" s="126" t="s">
        <v>265</v>
      </c>
      <c r="D36" s="126" t="s">
        <v>221</v>
      </c>
      <c r="E36" s="127"/>
      <c r="F36" s="126">
        <v>435128</v>
      </c>
      <c r="G36" s="128">
        <v>92607</v>
      </c>
      <c r="H36" s="128">
        <v>80160</v>
      </c>
      <c r="I36" s="128">
        <v>73757</v>
      </c>
      <c r="J36" s="128">
        <v>1955</v>
      </c>
      <c r="K36" s="128">
        <v>540</v>
      </c>
      <c r="L36" s="128">
        <v>2144</v>
      </c>
      <c r="M36" s="128">
        <v>129</v>
      </c>
      <c r="N36" s="128">
        <v>671</v>
      </c>
      <c r="O36" s="128">
        <v>10</v>
      </c>
      <c r="P36" s="128">
        <v>954</v>
      </c>
      <c r="Q36" s="128">
        <f t="shared" si="0"/>
        <v>3908</v>
      </c>
      <c r="R36" s="128">
        <v>12447</v>
      </c>
      <c r="S36" s="128">
        <v>2638</v>
      </c>
      <c r="T36" s="128">
        <v>9809</v>
      </c>
      <c r="U36" s="135"/>
    </row>
    <row r="37" spans="1:21" x14ac:dyDescent="0.2">
      <c r="A37" s="126">
        <v>94</v>
      </c>
      <c r="B37" s="126" t="s">
        <v>348</v>
      </c>
      <c r="C37" s="126" t="s">
        <v>349</v>
      </c>
      <c r="D37" s="126" t="s">
        <v>221</v>
      </c>
      <c r="E37" s="126"/>
      <c r="F37" s="126">
        <v>583971</v>
      </c>
      <c r="G37" s="128">
        <v>116102</v>
      </c>
      <c r="H37" s="128">
        <v>112786</v>
      </c>
      <c r="I37" s="128">
        <v>45664</v>
      </c>
      <c r="J37" s="128">
        <v>57808</v>
      </c>
      <c r="K37" s="128">
        <v>1701</v>
      </c>
      <c r="L37" s="128">
        <v>5562</v>
      </c>
      <c r="M37" s="128">
        <v>174</v>
      </c>
      <c r="N37" s="128">
        <v>1754</v>
      </c>
      <c r="O37" s="128">
        <v>18</v>
      </c>
      <c r="P37" s="128">
        <v>105</v>
      </c>
      <c r="Q37" s="128">
        <f t="shared" si="0"/>
        <v>7613</v>
      </c>
      <c r="R37" s="128">
        <v>3316</v>
      </c>
      <c r="S37" s="128">
        <v>1768</v>
      </c>
      <c r="T37" s="128">
        <v>1548</v>
      </c>
      <c r="U37" s="135"/>
    </row>
    <row r="38" spans="1:21" x14ac:dyDescent="0.2">
      <c r="A38" s="126">
        <v>106</v>
      </c>
      <c r="B38" s="126" t="s">
        <v>274</v>
      </c>
      <c r="C38" s="126" t="s">
        <v>363</v>
      </c>
      <c r="D38" s="126" t="s">
        <v>356</v>
      </c>
      <c r="E38" s="133" t="s">
        <v>236</v>
      </c>
      <c r="F38" s="126">
        <v>289550</v>
      </c>
      <c r="G38" s="128">
        <v>54435</v>
      </c>
      <c r="H38" s="128">
        <v>46600</v>
      </c>
      <c r="I38" s="128">
        <v>10710</v>
      </c>
      <c r="J38" s="128">
        <v>33952</v>
      </c>
      <c r="K38" s="128">
        <v>556</v>
      </c>
      <c r="L38" s="128">
        <v>476</v>
      </c>
      <c r="M38" s="128">
        <v>203</v>
      </c>
      <c r="N38" s="128">
        <v>545</v>
      </c>
      <c r="O38" s="128">
        <v>27</v>
      </c>
      <c r="P38" s="128">
        <v>131</v>
      </c>
      <c r="Q38" s="128">
        <f t="shared" si="0"/>
        <v>1382</v>
      </c>
      <c r="R38" s="128">
        <v>7835</v>
      </c>
      <c r="S38" s="128">
        <v>524</v>
      </c>
      <c r="T38" s="128">
        <v>7311</v>
      </c>
      <c r="U38" s="135"/>
    </row>
    <row r="39" spans="1:21" x14ac:dyDescent="0.2">
      <c r="A39" s="126">
        <v>25</v>
      </c>
      <c r="B39" s="126" t="s">
        <v>259</v>
      </c>
      <c r="C39" s="126" t="s">
        <v>260</v>
      </c>
      <c r="D39" s="126" t="s">
        <v>221</v>
      </c>
      <c r="E39" s="127"/>
      <c r="F39" s="126">
        <v>22580</v>
      </c>
      <c r="G39" s="128">
        <v>8083</v>
      </c>
      <c r="H39" s="128">
        <v>7098</v>
      </c>
      <c r="I39" s="128">
        <v>2043</v>
      </c>
      <c r="J39" s="128">
        <v>4925</v>
      </c>
      <c r="K39" s="128">
        <v>36</v>
      </c>
      <c r="L39" s="128">
        <v>45</v>
      </c>
      <c r="M39" s="128">
        <v>27</v>
      </c>
      <c r="N39" s="128">
        <v>22</v>
      </c>
      <c r="O39" s="128">
        <v>0</v>
      </c>
      <c r="P39" s="128">
        <v>0</v>
      </c>
      <c r="Q39" s="128">
        <f t="shared" si="0"/>
        <v>94</v>
      </c>
      <c r="R39" s="128">
        <v>985</v>
      </c>
      <c r="S39" s="128">
        <v>355</v>
      </c>
      <c r="T39" s="128">
        <v>630</v>
      </c>
      <c r="U39" s="135"/>
    </row>
    <row r="40" spans="1:21" x14ac:dyDescent="0.2">
      <c r="A40" s="126">
        <v>69</v>
      </c>
      <c r="B40" s="126" t="s">
        <v>317</v>
      </c>
      <c r="C40" s="126" t="s">
        <v>320</v>
      </c>
      <c r="D40" s="126" t="s">
        <v>221</v>
      </c>
      <c r="E40" s="127"/>
      <c r="F40" s="126">
        <v>207327</v>
      </c>
      <c r="G40" s="128">
        <v>53550</v>
      </c>
      <c r="H40" s="128">
        <v>40094</v>
      </c>
      <c r="I40" s="128">
        <v>4802</v>
      </c>
      <c r="J40" s="128">
        <v>30697</v>
      </c>
      <c r="K40" s="128">
        <v>460</v>
      </c>
      <c r="L40" s="128">
        <v>2806</v>
      </c>
      <c r="M40" s="128">
        <v>56</v>
      </c>
      <c r="N40" s="128">
        <v>1083</v>
      </c>
      <c r="O40" s="128">
        <v>0</v>
      </c>
      <c r="P40" s="128">
        <v>190</v>
      </c>
      <c r="Q40" s="128">
        <f t="shared" si="0"/>
        <v>4135</v>
      </c>
      <c r="R40" s="128">
        <v>13456</v>
      </c>
      <c r="S40" s="128">
        <v>10071</v>
      </c>
      <c r="T40" s="128">
        <v>3385</v>
      </c>
      <c r="U40" s="135"/>
    </row>
    <row r="41" spans="1:21" x14ac:dyDescent="0.2">
      <c r="A41" s="126">
        <v>14</v>
      </c>
      <c r="B41" s="126" t="s">
        <v>243</v>
      </c>
      <c r="C41" s="126" t="s">
        <v>244</v>
      </c>
      <c r="D41" s="126" t="s">
        <v>221</v>
      </c>
      <c r="E41" s="127"/>
      <c r="F41" s="126">
        <v>23991</v>
      </c>
      <c r="G41" s="128">
        <v>5279</v>
      </c>
      <c r="H41" s="128">
        <v>3941</v>
      </c>
      <c r="I41" s="128">
        <v>113</v>
      </c>
      <c r="J41" s="128">
        <v>3744</v>
      </c>
      <c r="K41" s="128">
        <v>33</v>
      </c>
      <c r="L41" s="128">
        <v>34</v>
      </c>
      <c r="M41" s="128">
        <v>16</v>
      </c>
      <c r="N41" s="128">
        <v>0</v>
      </c>
      <c r="O41" s="128">
        <v>0</v>
      </c>
      <c r="P41" s="128">
        <v>1</v>
      </c>
      <c r="Q41" s="128">
        <f t="shared" si="0"/>
        <v>51</v>
      </c>
      <c r="R41" s="128">
        <v>1338</v>
      </c>
      <c r="S41" s="128">
        <v>1225</v>
      </c>
      <c r="T41" s="128">
        <v>113</v>
      </c>
      <c r="U41" s="135"/>
    </row>
    <row r="42" spans="1:21" x14ac:dyDescent="0.2">
      <c r="A42" s="126">
        <v>96</v>
      </c>
      <c r="B42" s="126" t="s">
        <v>350</v>
      </c>
      <c r="C42" s="126" t="s">
        <v>352</v>
      </c>
      <c r="D42" s="126" t="s">
        <v>221</v>
      </c>
      <c r="E42" s="126"/>
      <c r="F42" s="126">
        <v>272000</v>
      </c>
      <c r="G42" s="128">
        <v>42526</v>
      </c>
      <c r="H42" s="128">
        <v>35822</v>
      </c>
      <c r="I42" s="128">
        <v>2697</v>
      </c>
      <c r="J42" s="128">
        <v>21610</v>
      </c>
      <c r="K42" s="128">
        <v>3722</v>
      </c>
      <c r="L42" s="128">
        <v>7262</v>
      </c>
      <c r="M42" s="128">
        <v>142</v>
      </c>
      <c r="N42" s="128">
        <v>194</v>
      </c>
      <c r="O42" s="128">
        <v>132</v>
      </c>
      <c r="P42" s="128">
        <v>63</v>
      </c>
      <c r="Q42" s="128">
        <f t="shared" si="0"/>
        <v>7793</v>
      </c>
      <c r="R42" s="128">
        <v>6704</v>
      </c>
      <c r="S42" s="128">
        <v>936</v>
      </c>
      <c r="T42" s="128">
        <v>5768</v>
      </c>
      <c r="U42" s="135"/>
    </row>
    <row r="43" spans="1:21" x14ac:dyDescent="0.2">
      <c r="A43" s="126">
        <v>70</v>
      </c>
      <c r="B43" s="126" t="s">
        <v>317</v>
      </c>
      <c r="C43" s="126" t="s">
        <v>321</v>
      </c>
      <c r="D43" s="126" t="s">
        <v>221</v>
      </c>
      <c r="E43" s="127"/>
      <c r="F43" s="126">
        <v>498129</v>
      </c>
      <c r="G43" s="128">
        <v>43056</v>
      </c>
      <c r="H43" s="128">
        <v>37673</v>
      </c>
      <c r="I43" s="128">
        <v>10407</v>
      </c>
      <c r="J43" s="128">
        <v>25528</v>
      </c>
      <c r="K43" s="128">
        <v>270</v>
      </c>
      <c r="L43" s="128">
        <v>513</v>
      </c>
      <c r="M43" s="128">
        <v>74</v>
      </c>
      <c r="N43" s="128">
        <v>880</v>
      </c>
      <c r="O43" s="128">
        <v>0</v>
      </c>
      <c r="P43" s="128">
        <v>1</v>
      </c>
      <c r="Q43" s="128">
        <f t="shared" si="0"/>
        <v>1468</v>
      </c>
      <c r="R43" s="128">
        <v>5383</v>
      </c>
      <c r="S43" s="128">
        <v>4923</v>
      </c>
      <c r="T43" s="128">
        <v>460</v>
      </c>
      <c r="U43" s="135"/>
    </row>
    <row r="44" spans="1:21" x14ac:dyDescent="0.2">
      <c r="A44" s="126">
        <v>23</v>
      </c>
      <c r="B44" s="126" t="s">
        <v>256</v>
      </c>
      <c r="C44" s="126" t="s">
        <v>257</v>
      </c>
      <c r="D44" s="126" t="s">
        <v>221</v>
      </c>
      <c r="E44" s="127"/>
      <c r="F44" s="126">
        <v>1414050</v>
      </c>
      <c r="G44" s="128">
        <v>287848</v>
      </c>
      <c r="H44" s="128">
        <v>256619</v>
      </c>
      <c r="I44" s="128">
        <v>143538</v>
      </c>
      <c r="J44" s="128">
        <v>73458</v>
      </c>
      <c r="K44" s="128">
        <v>4518</v>
      </c>
      <c r="L44" s="128">
        <v>26213</v>
      </c>
      <c r="M44" s="128">
        <v>4274</v>
      </c>
      <c r="N44" s="128">
        <v>3413</v>
      </c>
      <c r="O44" s="128">
        <v>472</v>
      </c>
      <c r="P44" s="128">
        <v>733</v>
      </c>
      <c r="Q44" s="128">
        <f t="shared" si="0"/>
        <v>35105</v>
      </c>
      <c r="R44" s="128">
        <v>31229</v>
      </c>
      <c r="S44" s="128">
        <v>6425</v>
      </c>
      <c r="T44" s="128">
        <v>24804</v>
      </c>
      <c r="U44" s="135"/>
    </row>
    <row r="45" spans="1:21" x14ac:dyDescent="0.2">
      <c r="A45" s="126">
        <v>19</v>
      </c>
      <c r="B45" s="126" t="s">
        <v>249</v>
      </c>
      <c r="C45" s="131" t="s">
        <v>252</v>
      </c>
      <c r="D45" s="126" t="s">
        <v>221</v>
      </c>
      <c r="E45" s="127"/>
      <c r="F45" s="126">
        <v>292797</v>
      </c>
      <c r="G45" s="128">
        <v>62769</v>
      </c>
      <c r="H45" s="128">
        <v>51943</v>
      </c>
      <c r="I45" s="128">
        <v>41419</v>
      </c>
      <c r="J45" s="128">
        <v>9206</v>
      </c>
      <c r="K45" s="128">
        <v>499</v>
      </c>
      <c r="L45" s="128">
        <v>643</v>
      </c>
      <c r="M45" s="128">
        <v>96</v>
      </c>
      <c r="N45" s="128">
        <v>58</v>
      </c>
      <c r="O45" s="128">
        <v>0</v>
      </c>
      <c r="P45" s="128">
        <v>22</v>
      </c>
      <c r="Q45" s="128">
        <f t="shared" si="0"/>
        <v>819</v>
      </c>
      <c r="R45" s="128">
        <v>10826</v>
      </c>
      <c r="S45" s="128">
        <v>334</v>
      </c>
      <c r="T45" s="128">
        <v>10492</v>
      </c>
      <c r="U45" s="135"/>
    </row>
    <row r="46" spans="1:21" x14ac:dyDescent="0.2">
      <c r="A46" s="126">
        <v>111</v>
      </c>
      <c r="B46" s="126" t="s">
        <v>335</v>
      </c>
      <c r="C46" s="126" t="s">
        <v>368</v>
      </c>
      <c r="D46" s="126" t="s">
        <v>356</v>
      </c>
      <c r="E46" s="133" t="s">
        <v>236</v>
      </c>
      <c r="F46" s="126">
        <v>84072</v>
      </c>
      <c r="G46" s="128">
        <v>16070</v>
      </c>
      <c r="H46" s="128">
        <v>13645</v>
      </c>
      <c r="I46" s="128">
        <v>586</v>
      </c>
      <c r="J46" s="128">
        <v>12262</v>
      </c>
      <c r="K46" s="128">
        <v>560</v>
      </c>
      <c r="L46" s="128">
        <v>121</v>
      </c>
      <c r="M46" s="128">
        <v>39</v>
      </c>
      <c r="N46" s="128">
        <v>60</v>
      </c>
      <c r="O46" s="128">
        <v>0</v>
      </c>
      <c r="P46" s="128">
        <v>17</v>
      </c>
      <c r="Q46" s="128">
        <f t="shared" si="0"/>
        <v>237</v>
      </c>
      <c r="R46" s="128">
        <v>2425</v>
      </c>
      <c r="S46" s="128">
        <v>214</v>
      </c>
      <c r="T46" s="128">
        <v>2211</v>
      </c>
      <c r="U46" s="135"/>
    </row>
    <row r="47" spans="1:21" x14ac:dyDescent="0.2">
      <c r="A47" s="126">
        <v>103</v>
      </c>
      <c r="B47" s="126" t="s">
        <v>231</v>
      </c>
      <c r="C47" s="126" t="s">
        <v>360</v>
      </c>
      <c r="D47" s="126" t="s">
        <v>356</v>
      </c>
      <c r="E47" s="133" t="s">
        <v>236</v>
      </c>
      <c r="F47" s="126">
        <v>468614</v>
      </c>
      <c r="G47" s="128">
        <v>71153</v>
      </c>
      <c r="H47" s="128">
        <v>59005</v>
      </c>
      <c r="I47" s="128">
        <v>6361</v>
      </c>
      <c r="J47" s="128">
        <v>49167</v>
      </c>
      <c r="K47" s="128">
        <v>1252</v>
      </c>
      <c r="L47" s="128">
        <v>694</v>
      </c>
      <c r="M47" s="128">
        <v>502</v>
      </c>
      <c r="N47" s="128">
        <v>483</v>
      </c>
      <c r="O47" s="128">
        <v>348</v>
      </c>
      <c r="P47" s="128">
        <v>198</v>
      </c>
      <c r="Q47" s="128">
        <f t="shared" si="0"/>
        <v>2225</v>
      </c>
      <c r="R47" s="128">
        <v>12148</v>
      </c>
      <c r="S47" s="128">
        <v>1245</v>
      </c>
      <c r="T47" s="128">
        <v>10903</v>
      </c>
      <c r="U47" s="135"/>
    </row>
    <row r="48" spans="1:21" x14ac:dyDescent="0.2">
      <c r="A48" s="126">
        <v>86</v>
      </c>
      <c r="B48" s="126" t="s">
        <v>335</v>
      </c>
      <c r="C48" s="126" t="s">
        <v>340</v>
      </c>
      <c r="D48" s="126" t="s">
        <v>221</v>
      </c>
      <c r="E48" s="126"/>
      <c r="F48" s="126">
        <v>1648643</v>
      </c>
      <c r="G48" s="128">
        <v>323380</v>
      </c>
      <c r="H48" s="128">
        <v>313786</v>
      </c>
      <c r="I48" s="128">
        <v>211620</v>
      </c>
      <c r="J48" s="128">
        <v>90324</v>
      </c>
      <c r="K48" s="128">
        <v>2453</v>
      </c>
      <c r="L48" s="128">
        <v>4026</v>
      </c>
      <c r="M48" s="128">
        <v>1079</v>
      </c>
      <c r="N48" s="128">
        <v>3335</v>
      </c>
      <c r="O48" s="128">
        <v>211</v>
      </c>
      <c r="P48" s="128">
        <v>738</v>
      </c>
      <c r="Q48" s="128">
        <f t="shared" si="0"/>
        <v>9389</v>
      </c>
      <c r="R48" s="128">
        <v>9594</v>
      </c>
      <c r="S48" s="128">
        <v>1450</v>
      </c>
      <c r="T48" s="128">
        <v>8144</v>
      </c>
      <c r="U48" s="135"/>
    </row>
    <row r="49" spans="1:21" x14ac:dyDescent="0.2">
      <c r="A49" s="126">
        <v>112</v>
      </c>
      <c r="B49" s="126" t="s">
        <v>335</v>
      </c>
      <c r="C49" s="126" t="s">
        <v>369</v>
      </c>
      <c r="D49" s="126" t="s">
        <v>356</v>
      </c>
      <c r="E49" s="133" t="s">
        <v>233</v>
      </c>
      <c r="F49" s="126">
        <v>121020</v>
      </c>
      <c r="G49" s="128">
        <v>18158</v>
      </c>
      <c r="H49" s="128">
        <v>14644</v>
      </c>
      <c r="I49" s="128">
        <v>2053</v>
      </c>
      <c r="J49" s="128">
        <v>12157</v>
      </c>
      <c r="K49" s="128">
        <v>176</v>
      </c>
      <c r="L49" s="128">
        <v>76</v>
      </c>
      <c r="M49" s="128">
        <v>26</v>
      </c>
      <c r="N49" s="128">
        <v>91</v>
      </c>
      <c r="O49" s="128">
        <v>12</v>
      </c>
      <c r="P49" s="128">
        <v>53</v>
      </c>
      <c r="Q49" s="128">
        <f t="shared" si="0"/>
        <v>258</v>
      </c>
      <c r="R49" s="128">
        <v>3514</v>
      </c>
      <c r="S49" s="128">
        <v>222</v>
      </c>
      <c r="T49" s="128">
        <v>3292</v>
      </c>
      <c r="U49" s="135"/>
    </row>
    <row r="50" spans="1:21" x14ac:dyDescent="0.2">
      <c r="A50" s="126">
        <v>44</v>
      </c>
      <c r="B50" s="131" t="s">
        <v>282</v>
      </c>
      <c r="C50" s="131" t="s">
        <v>285</v>
      </c>
      <c r="D50" s="126" t="s">
        <v>221</v>
      </c>
      <c r="E50" s="127"/>
      <c r="F50" s="132">
        <v>12400000</v>
      </c>
      <c r="G50" s="128">
        <v>2665481</v>
      </c>
      <c r="H50" s="128">
        <v>1535831</v>
      </c>
      <c r="I50" s="128">
        <v>1228458</v>
      </c>
      <c r="J50" s="128">
        <v>202659</v>
      </c>
      <c r="K50" s="128">
        <v>25712</v>
      </c>
      <c r="L50" s="128">
        <v>29202</v>
      </c>
      <c r="M50" s="128">
        <v>1819</v>
      </c>
      <c r="N50" s="128">
        <v>36883</v>
      </c>
      <c r="O50" s="128">
        <v>1137</v>
      </c>
      <c r="P50" s="128">
        <v>9961</v>
      </c>
      <c r="Q50" s="128">
        <f t="shared" si="0"/>
        <v>79002</v>
      </c>
      <c r="R50" s="128">
        <v>1129650</v>
      </c>
      <c r="S50" s="128">
        <v>1071412</v>
      </c>
      <c r="T50" s="128">
        <v>58238</v>
      </c>
      <c r="U50" s="135"/>
    </row>
    <row r="51" spans="1:21" x14ac:dyDescent="0.2">
      <c r="A51" s="126">
        <v>99</v>
      </c>
      <c r="B51" s="126" t="s">
        <v>222</v>
      </c>
      <c r="C51" s="126" t="s">
        <v>355</v>
      </c>
      <c r="D51" s="126" t="s">
        <v>356</v>
      </c>
      <c r="E51" s="133" t="s">
        <v>233</v>
      </c>
      <c r="F51" s="126">
        <v>60625</v>
      </c>
      <c r="G51" s="128">
        <v>19674</v>
      </c>
      <c r="H51" s="128">
        <v>13894</v>
      </c>
      <c r="I51" s="128">
        <v>1490</v>
      </c>
      <c r="J51" s="128">
        <v>11496</v>
      </c>
      <c r="K51" s="128">
        <v>337</v>
      </c>
      <c r="L51" s="128">
        <v>233</v>
      </c>
      <c r="M51" s="128">
        <v>48</v>
      </c>
      <c r="N51" s="128">
        <v>285</v>
      </c>
      <c r="O51" s="128">
        <v>0</v>
      </c>
      <c r="P51" s="128">
        <v>5</v>
      </c>
      <c r="Q51" s="128">
        <f t="shared" si="0"/>
        <v>571</v>
      </c>
      <c r="R51" s="128">
        <v>5780</v>
      </c>
      <c r="S51" s="128">
        <v>106</v>
      </c>
      <c r="T51" s="128">
        <v>5674</v>
      </c>
      <c r="U51" s="135"/>
    </row>
    <row r="52" spans="1:21" x14ac:dyDescent="0.2">
      <c r="A52" s="126">
        <v>6</v>
      </c>
      <c r="B52" s="130" t="s">
        <v>228</v>
      </c>
      <c r="C52" s="130" t="s">
        <v>229</v>
      </c>
      <c r="D52" s="126" t="s">
        <v>221</v>
      </c>
      <c r="E52" s="127"/>
      <c r="F52" s="126">
        <v>962334</v>
      </c>
      <c r="G52" s="128">
        <v>232154</v>
      </c>
      <c r="H52" s="128">
        <v>227268</v>
      </c>
      <c r="I52" s="128">
        <v>51736</v>
      </c>
      <c r="J52" s="128">
        <v>138427</v>
      </c>
      <c r="K52" s="128">
        <v>7265</v>
      </c>
      <c r="L52" s="128">
        <v>17878</v>
      </c>
      <c r="M52" s="128">
        <v>8289</v>
      </c>
      <c r="N52" s="128">
        <v>1309</v>
      </c>
      <c r="O52" s="128">
        <v>1885</v>
      </c>
      <c r="P52" s="128">
        <v>479</v>
      </c>
      <c r="Q52" s="128">
        <f t="shared" si="0"/>
        <v>29840</v>
      </c>
      <c r="R52" s="128">
        <v>4886</v>
      </c>
      <c r="S52" s="128">
        <v>1751</v>
      </c>
      <c r="T52" s="128">
        <v>3135</v>
      </c>
      <c r="U52" s="135" t="s">
        <v>230</v>
      </c>
    </row>
    <row r="53" spans="1:21" x14ac:dyDescent="0.2">
      <c r="A53" s="126">
        <v>36</v>
      </c>
      <c r="B53" s="126" t="s">
        <v>274</v>
      </c>
      <c r="C53" s="126" t="s">
        <v>276</v>
      </c>
      <c r="D53" s="126" t="s">
        <v>221</v>
      </c>
      <c r="E53" s="127" t="s">
        <v>236</v>
      </c>
      <c r="F53" s="126">
        <v>1159032</v>
      </c>
      <c r="G53" s="128">
        <v>190298</v>
      </c>
      <c r="H53" s="128">
        <v>174138</v>
      </c>
      <c r="I53" s="128">
        <v>145185</v>
      </c>
      <c r="J53" s="128">
        <v>23718</v>
      </c>
      <c r="K53" s="128">
        <v>1131</v>
      </c>
      <c r="L53" s="128">
        <v>2643</v>
      </c>
      <c r="M53" s="128">
        <v>460</v>
      </c>
      <c r="N53" s="128">
        <v>475</v>
      </c>
      <c r="O53" s="128">
        <v>20</v>
      </c>
      <c r="P53" s="128">
        <v>506</v>
      </c>
      <c r="Q53" s="128">
        <f t="shared" si="0"/>
        <v>4104</v>
      </c>
      <c r="R53" s="128">
        <v>16160</v>
      </c>
      <c r="S53" s="128">
        <v>5002</v>
      </c>
      <c r="T53" s="128">
        <v>11158</v>
      </c>
      <c r="U53" s="135"/>
    </row>
    <row r="54" spans="1:21" x14ac:dyDescent="0.2">
      <c r="A54" s="126">
        <v>104</v>
      </c>
      <c r="B54" s="126" t="s">
        <v>231</v>
      </c>
      <c r="C54" s="126" t="s">
        <v>361</v>
      </c>
      <c r="D54" s="126" t="s">
        <v>356</v>
      </c>
      <c r="E54" s="133" t="s">
        <v>233</v>
      </c>
      <c r="F54" s="126">
        <v>147688</v>
      </c>
      <c r="G54" s="128">
        <v>23280</v>
      </c>
      <c r="H54" s="128">
        <v>17276</v>
      </c>
      <c r="I54" s="128">
        <v>1528</v>
      </c>
      <c r="J54" s="128">
        <v>12855</v>
      </c>
      <c r="K54" s="128">
        <v>1374</v>
      </c>
      <c r="L54" s="128">
        <v>1079</v>
      </c>
      <c r="M54" s="128">
        <v>265</v>
      </c>
      <c r="N54" s="128">
        <v>34</v>
      </c>
      <c r="O54" s="128">
        <v>16</v>
      </c>
      <c r="P54" s="128">
        <v>125</v>
      </c>
      <c r="Q54" s="128">
        <f t="shared" si="0"/>
        <v>1519</v>
      </c>
      <c r="R54" s="128">
        <v>6004</v>
      </c>
      <c r="S54" s="128">
        <v>480</v>
      </c>
      <c r="T54" s="128">
        <v>5524</v>
      </c>
      <c r="U54" s="135"/>
    </row>
    <row r="55" spans="1:21" x14ac:dyDescent="0.2">
      <c r="A55" s="126">
        <v>97</v>
      </c>
      <c r="B55" s="126" t="s">
        <v>350</v>
      </c>
      <c r="C55" s="126" t="s">
        <v>353</v>
      </c>
      <c r="D55" s="126" t="s">
        <v>221</v>
      </c>
      <c r="E55" s="126"/>
      <c r="F55" s="126">
        <v>571000</v>
      </c>
      <c r="G55" s="128">
        <v>131057</v>
      </c>
      <c r="H55" s="128">
        <v>103086</v>
      </c>
      <c r="I55" s="128">
        <v>38714</v>
      </c>
      <c r="J55" s="128">
        <v>47982</v>
      </c>
      <c r="K55" s="128">
        <v>2283</v>
      </c>
      <c r="L55" s="128">
        <v>13172</v>
      </c>
      <c r="M55" s="128">
        <v>373</v>
      </c>
      <c r="N55" s="128">
        <v>180</v>
      </c>
      <c r="O55" s="128">
        <v>34</v>
      </c>
      <c r="P55" s="128">
        <v>348</v>
      </c>
      <c r="Q55" s="128">
        <f t="shared" si="0"/>
        <v>14107</v>
      </c>
      <c r="R55" s="128">
        <v>27971</v>
      </c>
      <c r="S55" s="128">
        <v>5796</v>
      </c>
      <c r="T55" s="128">
        <v>22175</v>
      </c>
      <c r="U55" s="135"/>
    </row>
    <row r="56" spans="1:21" x14ac:dyDescent="0.2">
      <c r="A56" s="126">
        <v>29</v>
      </c>
      <c r="B56" s="126" t="s">
        <v>263</v>
      </c>
      <c r="C56" s="126" t="s">
        <v>266</v>
      </c>
      <c r="D56" s="126" t="s">
        <v>221</v>
      </c>
      <c r="E56" s="127"/>
      <c r="F56" s="126">
        <v>943857</v>
      </c>
      <c r="G56" s="128">
        <v>193034</v>
      </c>
      <c r="H56" s="128">
        <v>166086</v>
      </c>
      <c r="I56" s="128">
        <v>134713</v>
      </c>
      <c r="J56" s="128">
        <v>26850</v>
      </c>
      <c r="K56" s="128">
        <v>2135</v>
      </c>
      <c r="L56" s="128">
        <v>1240</v>
      </c>
      <c r="M56" s="128">
        <v>97</v>
      </c>
      <c r="N56" s="128">
        <v>514</v>
      </c>
      <c r="O56" s="128">
        <v>58</v>
      </c>
      <c r="P56" s="128">
        <v>479</v>
      </c>
      <c r="Q56" s="128">
        <f t="shared" si="0"/>
        <v>2388</v>
      </c>
      <c r="R56" s="128">
        <v>26948</v>
      </c>
      <c r="S56" s="128">
        <v>9405</v>
      </c>
      <c r="T56" s="128">
        <v>17543</v>
      </c>
      <c r="U56" s="135"/>
    </row>
    <row r="57" spans="1:21" x14ac:dyDescent="0.2">
      <c r="A57" s="126">
        <v>52</v>
      </c>
      <c r="B57" s="126" t="s">
        <v>293</v>
      </c>
      <c r="C57" s="126" t="s">
        <v>294</v>
      </c>
      <c r="D57" s="126" t="s">
        <v>221</v>
      </c>
      <c r="E57" s="127"/>
      <c r="F57" s="126">
        <v>268243</v>
      </c>
      <c r="G57" s="128">
        <v>61015</v>
      </c>
      <c r="H57" s="128">
        <v>59342</v>
      </c>
      <c r="I57" s="128">
        <v>5968</v>
      </c>
      <c r="J57" s="128">
        <v>40476</v>
      </c>
      <c r="K57" s="128">
        <v>4919</v>
      </c>
      <c r="L57" s="128">
        <v>4535</v>
      </c>
      <c r="M57" s="128">
        <v>2830</v>
      </c>
      <c r="N57" s="128">
        <v>489</v>
      </c>
      <c r="O57" s="128">
        <v>108</v>
      </c>
      <c r="P57" s="128">
        <v>17</v>
      </c>
      <c r="Q57" s="128">
        <f t="shared" si="0"/>
        <v>7979</v>
      </c>
      <c r="R57" s="128">
        <v>1673</v>
      </c>
      <c r="S57" s="128">
        <v>1008</v>
      </c>
      <c r="T57" s="128">
        <v>665</v>
      </c>
      <c r="U57" s="135" t="s">
        <v>230</v>
      </c>
    </row>
    <row r="58" spans="1:21" x14ac:dyDescent="0.2">
      <c r="A58" s="126">
        <v>37</v>
      </c>
      <c r="B58" s="126" t="s">
        <v>274</v>
      </c>
      <c r="C58" s="126" t="s">
        <v>277</v>
      </c>
      <c r="D58" s="126" t="s">
        <v>221</v>
      </c>
      <c r="E58" s="127"/>
      <c r="F58" s="126">
        <v>2195274</v>
      </c>
      <c r="G58" s="128">
        <v>385756</v>
      </c>
      <c r="H58" s="128">
        <v>358155</v>
      </c>
      <c r="I58" s="128">
        <v>253453</v>
      </c>
      <c r="J58" s="128">
        <v>90076</v>
      </c>
      <c r="K58" s="128">
        <v>4199</v>
      </c>
      <c r="L58" s="128">
        <v>2978</v>
      </c>
      <c r="M58" s="128">
        <v>1491</v>
      </c>
      <c r="N58" s="128">
        <v>5710</v>
      </c>
      <c r="O58" s="128">
        <v>59</v>
      </c>
      <c r="P58" s="128">
        <v>189</v>
      </c>
      <c r="Q58" s="128">
        <f t="shared" si="0"/>
        <v>10427</v>
      </c>
      <c r="R58" s="128">
        <v>27601</v>
      </c>
      <c r="S58" s="128">
        <v>12466</v>
      </c>
      <c r="T58" s="128">
        <v>15135</v>
      </c>
      <c r="U58" s="135"/>
    </row>
    <row r="59" spans="1:21" x14ac:dyDescent="0.2">
      <c r="A59" s="126">
        <v>38</v>
      </c>
      <c r="B59" s="126" t="s">
        <v>274</v>
      </c>
      <c r="C59" s="126" t="s">
        <v>278</v>
      </c>
      <c r="D59" s="126" t="s">
        <v>221</v>
      </c>
      <c r="E59" s="127"/>
      <c r="F59" s="126">
        <v>1216445</v>
      </c>
      <c r="G59" s="128">
        <v>209452</v>
      </c>
      <c r="H59" s="128">
        <v>176208</v>
      </c>
      <c r="I59" s="128">
        <v>20160</v>
      </c>
      <c r="J59" s="128">
        <v>146753</v>
      </c>
      <c r="K59" s="128">
        <v>3057</v>
      </c>
      <c r="L59" s="128">
        <v>1296</v>
      </c>
      <c r="M59" s="128">
        <v>1041</v>
      </c>
      <c r="N59" s="128">
        <v>3423</v>
      </c>
      <c r="O59" s="128">
        <v>10</v>
      </c>
      <c r="P59" s="128">
        <v>468</v>
      </c>
      <c r="Q59" s="128">
        <f t="shared" si="0"/>
        <v>6238</v>
      </c>
      <c r="R59" s="128">
        <v>33244</v>
      </c>
      <c r="S59" s="128">
        <v>9031</v>
      </c>
      <c r="T59" s="128">
        <v>24213</v>
      </c>
      <c r="U59" s="135"/>
    </row>
    <row r="60" spans="1:21" x14ac:dyDescent="0.2">
      <c r="A60" s="126">
        <v>63</v>
      </c>
      <c r="B60" s="126" t="s">
        <v>310</v>
      </c>
      <c r="C60" s="126" t="s">
        <v>312</v>
      </c>
      <c r="D60" s="126" t="s">
        <v>221</v>
      </c>
      <c r="E60" s="127"/>
      <c r="F60" s="126">
        <v>3073350</v>
      </c>
      <c r="G60" s="128">
        <v>575268</v>
      </c>
      <c r="H60" s="128">
        <v>539717</v>
      </c>
      <c r="I60" s="128">
        <v>407476</v>
      </c>
      <c r="J60" s="128">
        <v>99181</v>
      </c>
      <c r="K60" s="128">
        <v>7896</v>
      </c>
      <c r="L60" s="128">
        <v>19941</v>
      </c>
      <c r="M60" s="128">
        <v>2915</v>
      </c>
      <c r="N60" s="128">
        <v>1029</v>
      </c>
      <c r="O60" s="128">
        <v>40</v>
      </c>
      <c r="P60" s="128">
        <v>1239</v>
      </c>
      <c r="Q60" s="128">
        <f t="shared" si="0"/>
        <v>25164</v>
      </c>
      <c r="R60" s="128">
        <v>35551</v>
      </c>
      <c r="S60" s="128">
        <v>2256</v>
      </c>
      <c r="T60" s="128">
        <v>33295</v>
      </c>
      <c r="U60" s="135"/>
    </row>
    <row r="61" spans="1:21" x14ac:dyDescent="0.2">
      <c r="A61" s="126">
        <v>60</v>
      </c>
      <c r="B61" s="126" t="s">
        <v>306</v>
      </c>
      <c r="C61" s="126" t="s">
        <v>308</v>
      </c>
      <c r="D61" s="126" t="s">
        <v>221</v>
      </c>
      <c r="E61" s="127"/>
      <c r="F61" s="126">
        <v>868181</v>
      </c>
      <c r="G61" s="128">
        <v>186003</v>
      </c>
      <c r="H61" s="128">
        <v>182213</v>
      </c>
      <c r="I61" s="128">
        <v>161221</v>
      </c>
      <c r="J61" s="128">
        <v>16789</v>
      </c>
      <c r="K61" s="128">
        <v>1293</v>
      </c>
      <c r="L61" s="128">
        <v>2029</v>
      </c>
      <c r="M61" s="128">
        <v>274</v>
      </c>
      <c r="N61" s="128">
        <v>290</v>
      </c>
      <c r="O61" s="128">
        <v>236</v>
      </c>
      <c r="P61" s="128">
        <v>81</v>
      </c>
      <c r="Q61" s="128">
        <f t="shared" si="0"/>
        <v>2910</v>
      </c>
      <c r="R61" s="128">
        <v>3790</v>
      </c>
      <c r="S61" s="128">
        <v>860</v>
      </c>
      <c r="T61" s="128">
        <v>2930</v>
      </c>
      <c r="U61" s="135"/>
    </row>
    <row r="62" spans="1:21" x14ac:dyDescent="0.2">
      <c r="A62" s="126">
        <v>87</v>
      </c>
      <c r="B62" s="126" t="s">
        <v>335</v>
      </c>
      <c r="C62" s="126" t="s">
        <v>341</v>
      </c>
      <c r="D62" s="126" t="s">
        <v>221</v>
      </c>
      <c r="E62" s="126"/>
      <c r="F62" s="126">
        <v>505693</v>
      </c>
      <c r="G62" s="128">
        <v>88884</v>
      </c>
      <c r="H62" s="128">
        <v>73192</v>
      </c>
      <c r="I62" s="128">
        <v>15938</v>
      </c>
      <c r="J62" s="128">
        <v>52498</v>
      </c>
      <c r="K62" s="128">
        <v>1107</v>
      </c>
      <c r="L62" s="128">
        <v>1454</v>
      </c>
      <c r="M62" s="128">
        <v>321</v>
      </c>
      <c r="N62" s="128">
        <v>774</v>
      </c>
      <c r="O62" s="128">
        <v>625</v>
      </c>
      <c r="P62" s="128">
        <v>475</v>
      </c>
      <c r="Q62" s="128">
        <f t="shared" si="0"/>
        <v>3649</v>
      </c>
      <c r="R62" s="128">
        <v>15692</v>
      </c>
      <c r="S62" s="128">
        <v>3957</v>
      </c>
      <c r="T62" s="128">
        <v>11735</v>
      </c>
      <c r="U62" s="135"/>
    </row>
    <row r="63" spans="1:21" x14ac:dyDescent="0.2">
      <c r="A63" s="126">
        <v>2</v>
      </c>
      <c r="B63" s="126" t="s">
        <v>222</v>
      </c>
      <c r="C63" s="126" t="s">
        <v>223</v>
      </c>
      <c r="D63" s="126" t="s">
        <v>221</v>
      </c>
      <c r="E63" s="127"/>
      <c r="F63" s="126">
        <v>350986</v>
      </c>
      <c r="G63" s="128">
        <v>99913</v>
      </c>
      <c r="H63" s="128">
        <v>84643</v>
      </c>
      <c r="I63" s="128">
        <v>13727</v>
      </c>
      <c r="J63" s="128">
        <v>68315</v>
      </c>
      <c r="K63" s="128">
        <v>513</v>
      </c>
      <c r="L63" s="128">
        <v>1264</v>
      </c>
      <c r="M63" s="128">
        <v>47</v>
      </c>
      <c r="N63" s="128">
        <v>356</v>
      </c>
      <c r="O63" s="128">
        <v>15</v>
      </c>
      <c r="P63" s="128">
        <v>406</v>
      </c>
      <c r="Q63" s="128">
        <f t="shared" si="0"/>
        <v>2088</v>
      </c>
      <c r="R63" s="128">
        <v>15270</v>
      </c>
      <c r="S63" s="128">
        <v>4576</v>
      </c>
      <c r="T63" s="128">
        <v>10694</v>
      </c>
      <c r="U63" s="135"/>
    </row>
    <row r="64" spans="1:21" x14ac:dyDescent="0.2">
      <c r="A64" s="126">
        <v>45</v>
      </c>
      <c r="B64" s="131" t="s">
        <v>282</v>
      </c>
      <c r="C64" s="131" t="s">
        <v>286</v>
      </c>
      <c r="D64" s="126" t="s">
        <v>221</v>
      </c>
      <c r="E64" s="127"/>
      <c r="F64" s="132">
        <v>1518000</v>
      </c>
      <c r="G64" s="128">
        <v>293574</v>
      </c>
      <c r="H64" s="128">
        <v>252035</v>
      </c>
      <c r="I64" s="128">
        <v>125825</v>
      </c>
      <c r="J64" s="128">
        <v>115485</v>
      </c>
      <c r="K64" s="128">
        <v>1712</v>
      </c>
      <c r="L64" s="128">
        <v>3926</v>
      </c>
      <c r="M64" s="128">
        <v>282</v>
      </c>
      <c r="N64" s="128">
        <v>4065</v>
      </c>
      <c r="O64" s="128">
        <v>164</v>
      </c>
      <c r="P64" s="128">
        <v>576</v>
      </c>
      <c r="Q64" s="128">
        <f t="shared" si="0"/>
        <v>9013</v>
      </c>
      <c r="R64" s="128">
        <v>41539</v>
      </c>
      <c r="S64" s="128">
        <v>36859</v>
      </c>
      <c r="T64" s="128">
        <v>4680</v>
      </c>
      <c r="U64" s="135"/>
    </row>
    <row r="65" spans="1:21" x14ac:dyDescent="0.2">
      <c r="A65" s="126">
        <v>88</v>
      </c>
      <c r="B65" s="126" t="s">
        <v>335</v>
      </c>
      <c r="C65" s="126" t="s">
        <v>342</v>
      </c>
      <c r="D65" s="126" t="s">
        <v>221</v>
      </c>
      <c r="E65" s="126"/>
      <c r="F65" s="126">
        <v>2765348</v>
      </c>
      <c r="G65" s="128">
        <v>486382</v>
      </c>
      <c r="H65" s="128">
        <v>418925</v>
      </c>
      <c r="I65" s="128">
        <v>304216</v>
      </c>
      <c r="J65" s="128">
        <v>94208</v>
      </c>
      <c r="K65" s="128">
        <v>5658</v>
      </c>
      <c r="L65" s="128">
        <v>6991</v>
      </c>
      <c r="M65" s="128">
        <v>1885</v>
      </c>
      <c r="N65" s="128">
        <v>4302</v>
      </c>
      <c r="O65" s="128">
        <v>605</v>
      </c>
      <c r="P65" s="128">
        <v>1060</v>
      </c>
      <c r="Q65" s="128">
        <f t="shared" si="0"/>
        <v>14843</v>
      </c>
      <c r="R65" s="128">
        <v>67457</v>
      </c>
      <c r="S65" s="128">
        <v>33454</v>
      </c>
      <c r="T65" s="128">
        <v>34003</v>
      </c>
      <c r="U65" s="135"/>
    </row>
    <row r="66" spans="1:21" x14ac:dyDescent="0.2">
      <c r="A66" s="126">
        <v>79</v>
      </c>
      <c r="B66" s="126" t="s">
        <v>330</v>
      </c>
      <c r="C66" s="126" t="s">
        <v>331</v>
      </c>
      <c r="D66" s="126" t="s">
        <v>221</v>
      </c>
      <c r="E66" s="126"/>
      <c r="F66" s="126">
        <v>261185</v>
      </c>
      <c r="G66" s="128">
        <v>69468</v>
      </c>
      <c r="H66" s="128">
        <v>64583</v>
      </c>
      <c r="I66" s="128">
        <v>8316</v>
      </c>
      <c r="J66" s="128">
        <v>51655</v>
      </c>
      <c r="K66" s="128">
        <v>1342</v>
      </c>
      <c r="L66" s="128">
        <v>800</v>
      </c>
      <c r="M66" s="128">
        <v>137</v>
      </c>
      <c r="N66" s="128">
        <v>2137</v>
      </c>
      <c r="O66" s="128">
        <v>0</v>
      </c>
      <c r="P66" s="128">
        <v>196</v>
      </c>
      <c r="Q66" s="128">
        <f t="shared" si="0"/>
        <v>3270</v>
      </c>
      <c r="R66" s="128">
        <v>4885</v>
      </c>
      <c r="S66" s="128">
        <v>151</v>
      </c>
      <c r="T66" s="128">
        <v>4734</v>
      </c>
      <c r="U66" s="135"/>
    </row>
    <row r="67" spans="1:21" x14ac:dyDescent="0.2">
      <c r="A67" s="126">
        <v>24</v>
      </c>
      <c r="B67" s="126" t="s">
        <v>256</v>
      </c>
      <c r="C67" s="126" t="s">
        <v>258</v>
      </c>
      <c r="D67" s="126" t="s">
        <v>221</v>
      </c>
      <c r="E67" s="127"/>
      <c r="F67" s="126">
        <v>302140</v>
      </c>
      <c r="G67" s="128">
        <v>60775</v>
      </c>
      <c r="H67" s="128">
        <v>58543</v>
      </c>
      <c r="I67" s="128">
        <v>48733</v>
      </c>
      <c r="J67" s="128">
        <v>4599</v>
      </c>
      <c r="K67" s="128">
        <v>1037</v>
      </c>
      <c r="L67" s="128">
        <v>2718</v>
      </c>
      <c r="M67" s="128">
        <v>1187</v>
      </c>
      <c r="N67" s="128">
        <v>261</v>
      </c>
      <c r="O67" s="128">
        <v>0</v>
      </c>
      <c r="P67" s="128">
        <v>8</v>
      </c>
      <c r="Q67" s="128">
        <f t="shared" si="0"/>
        <v>4174</v>
      </c>
      <c r="R67" s="128">
        <v>2232</v>
      </c>
      <c r="S67" s="128">
        <v>611</v>
      </c>
      <c r="T67" s="128">
        <v>1621</v>
      </c>
      <c r="U67" s="135"/>
    </row>
    <row r="68" spans="1:21" x14ac:dyDescent="0.2">
      <c r="A68" s="126">
        <v>105</v>
      </c>
      <c r="B68" s="126" t="s">
        <v>231</v>
      </c>
      <c r="C68" s="126" t="s">
        <v>362</v>
      </c>
      <c r="D68" s="126" t="s">
        <v>356</v>
      </c>
      <c r="E68" s="133" t="s">
        <v>236</v>
      </c>
      <c r="F68" s="126">
        <v>240838</v>
      </c>
      <c r="G68" s="128">
        <v>46902</v>
      </c>
      <c r="H68" s="128">
        <v>33879</v>
      </c>
      <c r="I68" s="128">
        <v>2126</v>
      </c>
      <c r="J68" s="128">
        <v>24582</v>
      </c>
      <c r="K68" s="128">
        <v>2271</v>
      </c>
      <c r="L68" s="128">
        <v>3279</v>
      </c>
      <c r="M68" s="128">
        <v>906</v>
      </c>
      <c r="N68" s="128">
        <v>253</v>
      </c>
      <c r="O68" s="128">
        <v>207</v>
      </c>
      <c r="P68" s="128">
        <v>255</v>
      </c>
      <c r="Q68" s="128">
        <f t="shared" si="0"/>
        <v>4900</v>
      </c>
      <c r="R68" s="128">
        <v>13023</v>
      </c>
      <c r="S68" s="128">
        <v>1322</v>
      </c>
      <c r="T68" s="128">
        <v>11701</v>
      </c>
      <c r="U68" s="135"/>
    </row>
    <row r="69" spans="1:21" x14ac:dyDescent="0.2">
      <c r="A69" s="126">
        <v>34</v>
      </c>
      <c r="B69" s="126" t="s">
        <v>272</v>
      </c>
      <c r="C69" s="126" t="s">
        <v>273</v>
      </c>
      <c r="D69" s="126" t="s">
        <v>221</v>
      </c>
      <c r="E69" s="127"/>
      <c r="F69" s="126">
        <v>11210</v>
      </c>
      <c r="G69" s="128">
        <v>1996</v>
      </c>
      <c r="H69" s="128">
        <v>1953</v>
      </c>
      <c r="I69" s="128">
        <v>18</v>
      </c>
      <c r="J69" s="128">
        <v>1917</v>
      </c>
      <c r="K69" s="128">
        <v>15</v>
      </c>
      <c r="L69" s="128">
        <v>0</v>
      </c>
      <c r="M69" s="128">
        <v>3</v>
      </c>
      <c r="N69" s="128">
        <v>0</v>
      </c>
      <c r="O69" s="128">
        <v>0</v>
      </c>
      <c r="P69" s="128">
        <v>0</v>
      </c>
      <c r="Q69" s="128">
        <f t="shared" si="0"/>
        <v>3</v>
      </c>
      <c r="R69" s="128">
        <v>43</v>
      </c>
      <c r="S69" s="128">
        <v>14</v>
      </c>
      <c r="T69" s="128">
        <v>29</v>
      </c>
      <c r="U69" s="135"/>
    </row>
    <row r="70" spans="1:21" x14ac:dyDescent="0.2">
      <c r="A70" s="126">
        <v>33</v>
      </c>
      <c r="B70" s="126" t="s">
        <v>270</v>
      </c>
      <c r="C70" s="126" t="s">
        <v>271</v>
      </c>
      <c r="D70" s="126" t="s">
        <v>221</v>
      </c>
      <c r="E70" s="127"/>
      <c r="F70" s="126">
        <v>601574</v>
      </c>
      <c r="G70" s="128">
        <v>150268</v>
      </c>
      <c r="H70" s="128">
        <v>148076</v>
      </c>
      <c r="I70" s="128">
        <v>32900</v>
      </c>
      <c r="J70" s="128">
        <v>106253</v>
      </c>
      <c r="K70" s="128">
        <v>3037</v>
      </c>
      <c r="L70" s="128">
        <v>4691</v>
      </c>
      <c r="M70" s="128">
        <v>110</v>
      </c>
      <c r="N70" s="128">
        <v>1082</v>
      </c>
      <c r="O70" s="128">
        <v>0</v>
      </c>
      <c r="P70" s="128">
        <v>3</v>
      </c>
      <c r="Q70" s="128">
        <f t="shared" si="0"/>
        <v>5886</v>
      </c>
      <c r="R70" s="128">
        <v>2192</v>
      </c>
      <c r="S70" s="128">
        <v>1631</v>
      </c>
      <c r="T70" s="128">
        <v>561</v>
      </c>
      <c r="U70" s="135" t="s">
        <v>230</v>
      </c>
    </row>
    <row r="71" spans="1:21" x14ac:dyDescent="0.2">
      <c r="A71" s="126">
        <v>55</v>
      </c>
      <c r="B71" s="126" t="s">
        <v>299</v>
      </c>
      <c r="C71" s="126" t="s">
        <v>300</v>
      </c>
      <c r="D71" s="126" t="s">
        <v>221</v>
      </c>
      <c r="E71" s="127"/>
      <c r="F71" s="126">
        <v>107000</v>
      </c>
      <c r="G71" s="128">
        <v>21428</v>
      </c>
      <c r="H71" s="128">
        <v>19964</v>
      </c>
      <c r="I71" s="128">
        <v>92</v>
      </c>
      <c r="J71" s="128">
        <v>17752</v>
      </c>
      <c r="K71" s="128">
        <v>1005</v>
      </c>
      <c r="L71" s="128">
        <v>231</v>
      </c>
      <c r="M71" s="128">
        <v>694</v>
      </c>
      <c r="N71" s="128">
        <v>145</v>
      </c>
      <c r="O71" s="128">
        <v>39</v>
      </c>
      <c r="P71" s="128">
        <v>6</v>
      </c>
      <c r="Q71" s="128">
        <f t="shared" ref="Q71:Q123" si="1">SUM(L71:P71)</f>
        <v>1115</v>
      </c>
      <c r="R71" s="128">
        <v>1464</v>
      </c>
      <c r="S71" s="128">
        <v>1222</v>
      </c>
      <c r="T71" s="128">
        <v>242</v>
      </c>
      <c r="U71" s="135"/>
    </row>
    <row r="72" spans="1:21" x14ac:dyDescent="0.2">
      <c r="A72" s="126">
        <v>64</v>
      </c>
      <c r="B72" s="126" t="s">
        <v>310</v>
      </c>
      <c r="C72" s="126" t="s">
        <v>313</v>
      </c>
      <c r="D72" s="126" t="s">
        <v>221</v>
      </c>
      <c r="E72" s="127"/>
      <c r="F72" s="126">
        <v>1001365</v>
      </c>
      <c r="G72" s="128">
        <v>196191</v>
      </c>
      <c r="H72" s="128">
        <v>160849</v>
      </c>
      <c r="I72" s="128">
        <v>41104</v>
      </c>
      <c r="J72" s="128">
        <v>107570</v>
      </c>
      <c r="K72" s="128">
        <v>3070</v>
      </c>
      <c r="L72" s="128">
        <v>554</v>
      </c>
      <c r="M72" s="128">
        <v>325</v>
      </c>
      <c r="N72" s="128">
        <v>8074</v>
      </c>
      <c r="O72" s="128">
        <v>17</v>
      </c>
      <c r="P72" s="128">
        <v>135</v>
      </c>
      <c r="Q72" s="128">
        <f t="shared" si="1"/>
        <v>9105</v>
      </c>
      <c r="R72" s="128">
        <v>35342</v>
      </c>
      <c r="S72" s="128">
        <v>5194</v>
      </c>
      <c r="T72" s="128">
        <v>30148</v>
      </c>
      <c r="U72" s="135"/>
    </row>
    <row r="73" spans="1:21" x14ac:dyDescent="0.2">
      <c r="A73" s="126">
        <v>89</v>
      </c>
      <c r="B73" s="126" t="s">
        <v>335</v>
      </c>
      <c r="C73" s="126" t="s">
        <v>343</v>
      </c>
      <c r="D73" s="126" t="s">
        <v>221</v>
      </c>
      <c r="E73" s="126"/>
      <c r="F73" s="126">
        <v>2817105</v>
      </c>
      <c r="G73" s="128">
        <v>512519</v>
      </c>
      <c r="H73" s="128">
        <v>462109</v>
      </c>
      <c r="I73" s="128">
        <v>278835</v>
      </c>
      <c r="J73" s="128">
        <v>166273</v>
      </c>
      <c r="K73" s="128">
        <v>7254</v>
      </c>
      <c r="L73" s="128">
        <v>2480</v>
      </c>
      <c r="M73" s="128">
        <v>905</v>
      </c>
      <c r="N73" s="128">
        <v>4211</v>
      </c>
      <c r="O73" s="128">
        <v>848</v>
      </c>
      <c r="P73" s="128">
        <v>1303</v>
      </c>
      <c r="Q73" s="128">
        <f t="shared" si="1"/>
        <v>9747</v>
      </c>
      <c r="R73" s="128">
        <v>50410</v>
      </c>
      <c r="S73" s="128">
        <v>12070</v>
      </c>
      <c r="T73" s="128">
        <v>38340</v>
      </c>
      <c r="U73" s="135"/>
    </row>
    <row r="74" spans="1:21" x14ac:dyDescent="0.2">
      <c r="A74" s="126">
        <v>61</v>
      </c>
      <c r="B74" s="126" t="s">
        <v>306</v>
      </c>
      <c r="C74" s="126" t="s">
        <v>309</v>
      </c>
      <c r="D74" s="126" t="s">
        <v>221</v>
      </c>
      <c r="E74" s="127"/>
      <c r="F74" s="126">
        <v>1618879</v>
      </c>
      <c r="G74" s="128">
        <v>347643</v>
      </c>
      <c r="H74" s="128">
        <v>339480</v>
      </c>
      <c r="I74" s="128">
        <v>287050</v>
      </c>
      <c r="J74" s="128">
        <v>27910</v>
      </c>
      <c r="K74" s="128">
        <v>6884</v>
      </c>
      <c r="L74" s="128">
        <v>14606</v>
      </c>
      <c r="M74" s="128">
        <v>1336</v>
      </c>
      <c r="N74" s="128">
        <v>726</v>
      </c>
      <c r="O74" s="128">
        <v>268</v>
      </c>
      <c r="P74" s="128">
        <v>700</v>
      </c>
      <c r="Q74" s="128">
        <f t="shared" si="1"/>
        <v>17636</v>
      </c>
      <c r="R74" s="128">
        <v>8163</v>
      </c>
      <c r="S74" s="128">
        <v>4081</v>
      </c>
      <c r="T74" s="128">
        <v>4082</v>
      </c>
      <c r="U74" s="135"/>
    </row>
    <row r="75" spans="1:21" x14ac:dyDescent="0.2">
      <c r="A75" s="126">
        <v>71</v>
      </c>
      <c r="B75" s="126" t="s">
        <v>317</v>
      </c>
      <c r="C75" s="126" t="s">
        <v>322</v>
      </c>
      <c r="D75" s="126" t="s">
        <v>221</v>
      </c>
      <c r="E75" s="127"/>
      <c r="F75" s="126">
        <v>1561129</v>
      </c>
      <c r="G75" s="128">
        <v>266020</v>
      </c>
      <c r="H75" s="128">
        <v>244506</v>
      </c>
      <c r="I75" s="128">
        <v>218793</v>
      </c>
      <c r="J75" s="128">
        <v>20096</v>
      </c>
      <c r="K75" s="128">
        <v>1213</v>
      </c>
      <c r="L75" s="128">
        <v>1933</v>
      </c>
      <c r="M75" s="128">
        <v>423</v>
      </c>
      <c r="N75" s="128">
        <v>1686</v>
      </c>
      <c r="O75" s="128">
        <v>264</v>
      </c>
      <c r="P75" s="128">
        <v>98</v>
      </c>
      <c r="Q75" s="128">
        <f t="shared" si="1"/>
        <v>4404</v>
      </c>
      <c r="R75" s="128">
        <v>21514</v>
      </c>
      <c r="S75" s="128">
        <v>17255</v>
      </c>
      <c r="T75" s="128">
        <v>4259</v>
      </c>
      <c r="U75" s="135"/>
    </row>
    <row r="76" spans="1:21" x14ac:dyDescent="0.2">
      <c r="A76" s="126">
        <v>30</v>
      </c>
      <c r="B76" s="126" t="s">
        <v>263</v>
      </c>
      <c r="C76" s="126" t="s">
        <v>267</v>
      </c>
      <c r="D76" s="126" t="s">
        <v>221</v>
      </c>
      <c r="E76" s="127"/>
      <c r="F76" s="126">
        <v>484785</v>
      </c>
      <c r="G76" s="128">
        <v>108760</v>
      </c>
      <c r="H76" s="128">
        <v>107007</v>
      </c>
      <c r="I76" s="128">
        <v>42244</v>
      </c>
      <c r="J76" s="128">
        <v>51298</v>
      </c>
      <c r="K76" s="128">
        <v>680</v>
      </c>
      <c r="L76" s="128">
        <v>12679</v>
      </c>
      <c r="M76" s="128">
        <v>71</v>
      </c>
      <c r="N76" s="128">
        <v>25</v>
      </c>
      <c r="O76" s="128">
        <v>0</v>
      </c>
      <c r="P76" s="128">
        <v>10</v>
      </c>
      <c r="Q76" s="128">
        <f t="shared" si="1"/>
        <v>12785</v>
      </c>
      <c r="R76" s="128">
        <v>1753</v>
      </c>
      <c r="S76" s="128">
        <v>596</v>
      </c>
      <c r="T76" s="128">
        <v>1157</v>
      </c>
      <c r="U76" s="135"/>
    </row>
    <row r="77" spans="1:21" x14ac:dyDescent="0.2">
      <c r="A77" s="126">
        <v>90</v>
      </c>
      <c r="B77" s="126" t="s">
        <v>335</v>
      </c>
      <c r="C77" s="126" t="s">
        <v>344</v>
      </c>
      <c r="D77" s="126" t="s">
        <v>221</v>
      </c>
      <c r="E77" s="126"/>
      <c r="F77" s="126">
        <v>887871</v>
      </c>
      <c r="G77" s="128">
        <v>154364</v>
      </c>
      <c r="H77" s="128">
        <v>147312</v>
      </c>
      <c r="I77" s="128">
        <v>32229</v>
      </c>
      <c r="J77" s="128">
        <v>99327</v>
      </c>
      <c r="K77" s="128">
        <v>5598</v>
      </c>
      <c r="L77" s="128">
        <v>3945</v>
      </c>
      <c r="M77" s="128">
        <v>724</v>
      </c>
      <c r="N77" s="128">
        <v>4040</v>
      </c>
      <c r="O77" s="128">
        <v>1222</v>
      </c>
      <c r="P77" s="128">
        <v>227</v>
      </c>
      <c r="Q77" s="128">
        <f t="shared" si="1"/>
        <v>10158</v>
      </c>
      <c r="R77" s="128">
        <v>7052</v>
      </c>
      <c r="S77" s="128">
        <v>1787</v>
      </c>
      <c r="T77" s="128">
        <v>5265</v>
      </c>
      <c r="U77" s="135"/>
    </row>
    <row r="78" spans="1:21" x14ac:dyDescent="0.2">
      <c r="A78" s="126">
        <v>9</v>
      </c>
      <c r="B78" s="126" t="s">
        <v>231</v>
      </c>
      <c r="C78" s="126" t="s">
        <v>235</v>
      </c>
      <c r="D78" s="126" t="s">
        <v>221</v>
      </c>
      <c r="E78" s="127" t="s">
        <v>236</v>
      </c>
      <c r="F78" s="126">
        <v>393724</v>
      </c>
      <c r="G78" s="128">
        <v>66085</v>
      </c>
      <c r="H78" s="128">
        <v>57540</v>
      </c>
      <c r="I78" s="128">
        <v>6086</v>
      </c>
      <c r="J78" s="128">
        <v>48306</v>
      </c>
      <c r="K78" s="128">
        <v>1337</v>
      </c>
      <c r="L78" s="128">
        <v>965</v>
      </c>
      <c r="M78" s="128">
        <v>465</v>
      </c>
      <c r="N78" s="128">
        <v>180</v>
      </c>
      <c r="O78" s="128">
        <v>16</v>
      </c>
      <c r="P78" s="128">
        <v>185</v>
      </c>
      <c r="Q78" s="128">
        <f t="shared" si="1"/>
        <v>1811</v>
      </c>
      <c r="R78" s="128">
        <v>8545</v>
      </c>
      <c r="S78" s="128">
        <v>2733</v>
      </c>
      <c r="T78" s="128">
        <v>5812</v>
      </c>
      <c r="U78" s="135"/>
    </row>
    <row r="79" spans="1:21" x14ac:dyDescent="0.2">
      <c r="A79" s="126">
        <v>46</v>
      </c>
      <c r="B79" s="131" t="s">
        <v>282</v>
      </c>
      <c r="C79" s="131" t="s">
        <v>287</v>
      </c>
      <c r="D79" s="126" t="s">
        <v>221</v>
      </c>
      <c r="E79" s="127"/>
      <c r="F79" s="132">
        <v>2460000</v>
      </c>
      <c r="G79" s="128">
        <v>506353</v>
      </c>
      <c r="H79" s="128">
        <v>478835</v>
      </c>
      <c r="I79" s="128">
        <v>416625</v>
      </c>
      <c r="J79" s="128">
        <v>44049</v>
      </c>
      <c r="K79" s="128">
        <v>1930</v>
      </c>
      <c r="L79" s="128">
        <v>7933</v>
      </c>
      <c r="M79" s="128">
        <v>697</v>
      </c>
      <c r="N79" s="128">
        <v>4366</v>
      </c>
      <c r="O79" s="128">
        <v>32</v>
      </c>
      <c r="P79" s="128">
        <v>3203</v>
      </c>
      <c r="Q79" s="128">
        <f t="shared" si="1"/>
        <v>16231</v>
      </c>
      <c r="R79" s="128">
        <v>27518</v>
      </c>
      <c r="S79" s="128">
        <v>7481</v>
      </c>
      <c r="T79" s="128">
        <v>20037</v>
      </c>
      <c r="U79" s="135"/>
    </row>
    <row r="80" spans="1:21" x14ac:dyDescent="0.2">
      <c r="A80" s="126">
        <v>66</v>
      </c>
      <c r="B80" s="126" t="s">
        <v>315</v>
      </c>
      <c r="C80" s="126" t="s">
        <v>316</v>
      </c>
      <c r="D80" s="126" t="s">
        <v>221</v>
      </c>
      <c r="E80" s="127"/>
      <c r="F80" s="126">
        <v>12190</v>
      </c>
      <c r="G80" s="128">
        <v>2608</v>
      </c>
      <c r="H80" s="128">
        <v>2581</v>
      </c>
      <c r="I80" s="128">
        <v>36</v>
      </c>
      <c r="J80" s="128">
        <v>2470</v>
      </c>
      <c r="K80" s="128">
        <v>17</v>
      </c>
      <c r="L80" s="128">
        <v>28</v>
      </c>
      <c r="M80" s="128">
        <v>29</v>
      </c>
      <c r="N80" s="128">
        <v>1</v>
      </c>
      <c r="O80" s="128">
        <v>0</v>
      </c>
      <c r="P80" s="128">
        <v>0</v>
      </c>
      <c r="Q80" s="128">
        <f t="shared" si="1"/>
        <v>58</v>
      </c>
      <c r="R80" s="128">
        <v>27</v>
      </c>
      <c r="S80" s="128">
        <v>0</v>
      </c>
      <c r="T80" s="128">
        <v>27</v>
      </c>
      <c r="U80" s="135"/>
    </row>
    <row r="81" spans="1:21" x14ac:dyDescent="0.2">
      <c r="A81" s="126">
        <v>47</v>
      </c>
      <c r="B81" s="131" t="s">
        <v>282</v>
      </c>
      <c r="C81" s="131" t="s">
        <v>288</v>
      </c>
      <c r="D81" s="126" t="s">
        <v>221</v>
      </c>
      <c r="E81" s="127"/>
      <c r="F81" s="132">
        <v>1486000</v>
      </c>
      <c r="G81" s="128">
        <v>319100</v>
      </c>
      <c r="H81" s="128">
        <v>254252</v>
      </c>
      <c r="I81" s="128">
        <v>133938</v>
      </c>
      <c r="J81" s="128">
        <v>112510</v>
      </c>
      <c r="K81" s="128">
        <v>1181</v>
      </c>
      <c r="L81" s="128">
        <v>3591</v>
      </c>
      <c r="M81" s="128">
        <v>396</v>
      </c>
      <c r="N81" s="128">
        <v>2092</v>
      </c>
      <c r="O81" s="128">
        <v>28</v>
      </c>
      <c r="P81" s="128">
        <v>516</v>
      </c>
      <c r="Q81" s="128">
        <f t="shared" si="1"/>
        <v>6623</v>
      </c>
      <c r="R81" s="128">
        <v>64848</v>
      </c>
      <c r="S81" s="128">
        <v>53202</v>
      </c>
      <c r="T81" s="128">
        <v>11646</v>
      </c>
      <c r="U81" s="135"/>
    </row>
    <row r="82" spans="1:21" x14ac:dyDescent="0.2">
      <c r="A82" s="126">
        <v>48</v>
      </c>
      <c r="B82" s="131" t="s">
        <v>282</v>
      </c>
      <c r="C82" s="131" t="s">
        <v>289</v>
      </c>
      <c r="D82" s="126" t="s">
        <v>221</v>
      </c>
      <c r="E82" s="127"/>
      <c r="F82" s="132">
        <v>1119000</v>
      </c>
      <c r="G82" s="128">
        <v>257601</v>
      </c>
      <c r="H82" s="128">
        <v>200339</v>
      </c>
      <c r="I82" s="128">
        <v>173209</v>
      </c>
      <c r="J82" s="128">
        <v>13492</v>
      </c>
      <c r="K82" s="128">
        <v>1568</v>
      </c>
      <c r="L82" s="128">
        <v>4342</v>
      </c>
      <c r="M82" s="128">
        <v>297</v>
      </c>
      <c r="N82" s="128">
        <v>6258</v>
      </c>
      <c r="O82" s="128">
        <v>46</v>
      </c>
      <c r="P82" s="128">
        <v>1127</v>
      </c>
      <c r="Q82" s="128">
        <f t="shared" si="1"/>
        <v>12070</v>
      </c>
      <c r="R82" s="128">
        <v>57262</v>
      </c>
      <c r="S82" s="128">
        <v>51488</v>
      </c>
      <c r="T82" s="128">
        <v>5774</v>
      </c>
      <c r="U82" s="135"/>
    </row>
    <row r="83" spans="1:21" x14ac:dyDescent="0.2">
      <c r="A83" s="126">
        <v>15</v>
      </c>
      <c r="B83" s="126" t="s">
        <v>245</v>
      </c>
      <c r="C83" s="126" t="s">
        <v>246</v>
      </c>
      <c r="D83" s="126" t="s">
        <v>221</v>
      </c>
      <c r="E83" s="127" t="s">
        <v>236</v>
      </c>
      <c r="F83" s="126">
        <v>249998</v>
      </c>
      <c r="G83" s="128">
        <v>56017</v>
      </c>
      <c r="H83" s="128">
        <v>47709</v>
      </c>
      <c r="I83" s="128">
        <v>47271</v>
      </c>
      <c r="J83" s="128">
        <v>309</v>
      </c>
      <c r="K83" s="128">
        <v>51</v>
      </c>
      <c r="L83" s="128">
        <v>61</v>
      </c>
      <c r="M83" s="128">
        <v>9</v>
      </c>
      <c r="N83" s="128">
        <v>7</v>
      </c>
      <c r="O83" s="128">
        <v>0</v>
      </c>
      <c r="P83" s="128">
        <v>1</v>
      </c>
      <c r="Q83" s="128">
        <f t="shared" si="1"/>
        <v>78</v>
      </c>
      <c r="R83" s="128">
        <v>8308</v>
      </c>
      <c r="S83" s="128">
        <v>7544</v>
      </c>
      <c r="T83" s="128">
        <v>764</v>
      </c>
      <c r="U83" s="135"/>
    </row>
    <row r="84" spans="1:21" x14ac:dyDescent="0.2">
      <c r="A84" s="126">
        <v>98</v>
      </c>
      <c r="B84" s="126" t="s">
        <v>350</v>
      </c>
      <c r="C84" s="126" t="s">
        <v>354</v>
      </c>
      <c r="D84" s="126" t="s">
        <v>221</v>
      </c>
      <c r="E84" s="126"/>
      <c r="F84" s="126">
        <v>36541</v>
      </c>
      <c r="G84" s="126"/>
      <c r="H84" s="126"/>
      <c r="I84" s="126"/>
      <c r="J84" s="126"/>
      <c r="K84" s="126"/>
      <c r="L84" s="126"/>
      <c r="M84" s="126"/>
      <c r="N84" s="126"/>
      <c r="O84" s="126"/>
      <c r="P84" s="126"/>
      <c r="Q84" s="128">
        <f t="shared" si="1"/>
        <v>0</v>
      </c>
      <c r="R84" s="126"/>
      <c r="S84" s="126"/>
      <c r="T84" s="126"/>
      <c r="U84" s="135" t="s">
        <v>376</v>
      </c>
    </row>
    <row r="85" spans="1:21" x14ac:dyDescent="0.2">
      <c r="A85" s="126">
        <v>58</v>
      </c>
      <c r="B85" s="126" t="s">
        <v>304</v>
      </c>
      <c r="C85" s="126" t="s">
        <v>305</v>
      </c>
      <c r="D85" s="126" t="s">
        <v>221</v>
      </c>
      <c r="E85" s="127"/>
      <c r="F85" s="126">
        <v>300104</v>
      </c>
      <c r="G85" s="128">
        <v>73019</v>
      </c>
      <c r="H85" s="128">
        <v>62043</v>
      </c>
      <c r="I85" s="128">
        <v>11618</v>
      </c>
      <c r="J85" s="128">
        <v>49633</v>
      </c>
      <c r="K85" s="128">
        <v>263</v>
      </c>
      <c r="L85" s="128">
        <v>41</v>
      </c>
      <c r="M85" s="128">
        <v>7</v>
      </c>
      <c r="N85" s="128">
        <v>370</v>
      </c>
      <c r="O85" s="128">
        <v>108</v>
      </c>
      <c r="P85" s="128">
        <v>3</v>
      </c>
      <c r="Q85" s="128">
        <f t="shared" si="1"/>
        <v>529</v>
      </c>
      <c r="R85" s="128">
        <v>10976</v>
      </c>
      <c r="S85" s="128">
        <v>3707</v>
      </c>
      <c r="T85" s="128">
        <v>7269</v>
      </c>
      <c r="U85" s="135"/>
    </row>
    <row r="86" spans="1:21" x14ac:dyDescent="0.2">
      <c r="A86" s="126">
        <v>16</v>
      </c>
      <c r="B86" s="126" t="s">
        <v>247</v>
      </c>
      <c r="C86" s="126" t="s">
        <v>248</v>
      </c>
      <c r="D86" s="126" t="s">
        <v>221</v>
      </c>
      <c r="E86" s="127"/>
      <c r="F86" s="126">
        <v>100000</v>
      </c>
      <c r="G86" s="128">
        <v>16244</v>
      </c>
      <c r="H86" s="128">
        <v>14179</v>
      </c>
      <c r="I86" s="128">
        <v>5978</v>
      </c>
      <c r="J86" s="128">
        <v>7330</v>
      </c>
      <c r="K86" s="128">
        <v>409</v>
      </c>
      <c r="L86" s="128">
        <v>365</v>
      </c>
      <c r="M86" s="128">
        <v>46</v>
      </c>
      <c r="N86" s="128">
        <v>19</v>
      </c>
      <c r="O86" s="128">
        <v>0</v>
      </c>
      <c r="P86" s="128">
        <v>32</v>
      </c>
      <c r="Q86" s="128">
        <f t="shared" si="1"/>
        <v>462</v>
      </c>
      <c r="R86" s="128">
        <v>2065</v>
      </c>
      <c r="S86" s="128">
        <v>1149</v>
      </c>
      <c r="T86" s="128">
        <v>916</v>
      </c>
      <c r="U86" s="135"/>
    </row>
    <row r="87" spans="1:21" x14ac:dyDescent="0.2">
      <c r="A87" s="126">
        <v>5</v>
      </c>
      <c r="B87" s="126" t="s">
        <v>226</v>
      </c>
      <c r="C87" s="126" t="s">
        <v>227</v>
      </c>
      <c r="D87" s="126" t="s">
        <v>221</v>
      </c>
      <c r="E87" s="127"/>
      <c r="F87" s="126">
        <v>24656</v>
      </c>
      <c r="G87" s="128">
        <v>5567</v>
      </c>
      <c r="H87" s="128">
        <v>5093</v>
      </c>
      <c r="I87" s="128">
        <v>731</v>
      </c>
      <c r="J87" s="128">
        <v>2193</v>
      </c>
      <c r="K87" s="128">
        <v>703</v>
      </c>
      <c r="L87" s="128">
        <v>533</v>
      </c>
      <c r="M87" s="128">
        <v>900</v>
      </c>
      <c r="N87" s="128">
        <v>10</v>
      </c>
      <c r="O87" s="128">
        <v>12</v>
      </c>
      <c r="P87" s="128">
        <v>11</v>
      </c>
      <c r="Q87" s="128">
        <f t="shared" si="1"/>
        <v>1466</v>
      </c>
      <c r="R87" s="128">
        <v>474</v>
      </c>
      <c r="S87" s="128">
        <v>195</v>
      </c>
      <c r="T87" s="128">
        <v>279</v>
      </c>
      <c r="U87" s="135"/>
    </row>
    <row r="88" spans="1:21" x14ac:dyDescent="0.2">
      <c r="A88" s="126">
        <v>1</v>
      </c>
      <c r="B88" s="126" t="s">
        <v>219</v>
      </c>
      <c r="C88" s="126" t="s">
        <v>220</v>
      </c>
      <c r="D88" s="126" t="s">
        <v>221</v>
      </c>
      <c r="E88" s="127"/>
      <c r="F88" s="126">
        <v>140572</v>
      </c>
      <c r="G88" s="128">
        <v>25210</v>
      </c>
      <c r="H88" s="128">
        <v>22285</v>
      </c>
      <c r="I88" s="128">
        <v>545</v>
      </c>
      <c r="J88" s="128">
        <v>21569</v>
      </c>
      <c r="K88" s="128">
        <v>122</v>
      </c>
      <c r="L88" s="128">
        <v>12</v>
      </c>
      <c r="M88" s="128">
        <v>23</v>
      </c>
      <c r="N88" s="128">
        <v>9</v>
      </c>
      <c r="O88" s="128">
        <v>0</v>
      </c>
      <c r="P88" s="128">
        <v>5</v>
      </c>
      <c r="Q88" s="128">
        <f t="shared" si="1"/>
        <v>49</v>
      </c>
      <c r="R88" s="128">
        <v>2925</v>
      </c>
      <c r="S88" s="128">
        <v>1716</v>
      </c>
      <c r="T88" s="128">
        <v>1209</v>
      </c>
      <c r="U88" s="135"/>
    </row>
    <row r="89" spans="1:21" x14ac:dyDescent="0.2">
      <c r="A89" s="126">
        <v>100</v>
      </c>
      <c r="B89" s="126" t="s">
        <v>222</v>
      </c>
      <c r="C89" s="126" t="s">
        <v>357</v>
      </c>
      <c r="D89" s="126" t="s">
        <v>356</v>
      </c>
      <c r="E89" s="133" t="s">
        <v>233</v>
      </c>
      <c r="F89" s="126">
        <v>162717</v>
      </c>
      <c r="G89" s="128">
        <v>38585</v>
      </c>
      <c r="H89" s="128">
        <v>35767</v>
      </c>
      <c r="I89" s="128">
        <v>5467</v>
      </c>
      <c r="J89" s="128">
        <v>20286</v>
      </c>
      <c r="K89" s="128">
        <v>949</v>
      </c>
      <c r="L89" s="128">
        <v>6983</v>
      </c>
      <c r="M89" s="128">
        <v>145</v>
      </c>
      <c r="N89" s="128">
        <v>1914</v>
      </c>
      <c r="O89" s="128">
        <v>0</v>
      </c>
      <c r="P89" s="128">
        <v>23</v>
      </c>
      <c r="Q89" s="128">
        <f t="shared" si="1"/>
        <v>9065</v>
      </c>
      <c r="R89" s="128">
        <v>2818</v>
      </c>
      <c r="S89" s="128">
        <v>700</v>
      </c>
      <c r="T89" s="128">
        <v>2118</v>
      </c>
      <c r="U89" s="135"/>
    </row>
    <row r="90" spans="1:21" x14ac:dyDescent="0.2">
      <c r="A90" s="126">
        <v>49</v>
      </c>
      <c r="B90" s="131" t="s">
        <v>282</v>
      </c>
      <c r="C90" s="131" t="s">
        <v>290</v>
      </c>
      <c r="D90" s="126" t="s">
        <v>221</v>
      </c>
      <c r="E90" s="127"/>
      <c r="F90" s="132">
        <v>3124000</v>
      </c>
      <c r="G90" s="128">
        <v>733990</v>
      </c>
      <c r="H90" s="128">
        <v>581206</v>
      </c>
      <c r="I90" s="128">
        <v>518781</v>
      </c>
      <c r="J90" s="128">
        <v>39427</v>
      </c>
      <c r="K90" s="128">
        <v>3089</v>
      </c>
      <c r="L90" s="128">
        <v>7448</v>
      </c>
      <c r="M90" s="128">
        <v>438</v>
      </c>
      <c r="N90" s="128">
        <v>10384</v>
      </c>
      <c r="O90" s="128">
        <v>94</v>
      </c>
      <c r="P90" s="128">
        <v>1545</v>
      </c>
      <c r="Q90" s="128">
        <f t="shared" si="1"/>
        <v>19909</v>
      </c>
      <c r="R90" s="128">
        <v>152784</v>
      </c>
      <c r="S90" s="128">
        <v>136667</v>
      </c>
      <c r="T90" s="128">
        <v>16117</v>
      </c>
      <c r="U90" s="135"/>
    </row>
    <row r="91" spans="1:21" x14ac:dyDescent="0.2">
      <c r="A91" s="126">
        <v>12</v>
      </c>
      <c r="B91" s="126" t="s">
        <v>238</v>
      </c>
      <c r="C91" s="126" t="s">
        <v>240</v>
      </c>
      <c r="D91" s="126" t="s">
        <v>221</v>
      </c>
      <c r="E91" s="127"/>
      <c r="F91" s="126">
        <v>1047389</v>
      </c>
      <c r="G91" s="128">
        <v>205780</v>
      </c>
      <c r="H91" s="128">
        <v>152325</v>
      </c>
      <c r="I91" s="128">
        <v>12768</v>
      </c>
      <c r="J91" s="128">
        <v>135083</v>
      </c>
      <c r="K91" s="128">
        <v>1749</v>
      </c>
      <c r="L91" s="128">
        <v>1191</v>
      </c>
      <c r="M91" s="128">
        <v>424</v>
      </c>
      <c r="N91" s="128">
        <v>968</v>
      </c>
      <c r="O91" s="128">
        <v>12</v>
      </c>
      <c r="P91" s="128">
        <v>130</v>
      </c>
      <c r="Q91" s="128">
        <f t="shared" si="1"/>
        <v>2725</v>
      </c>
      <c r="R91" s="128">
        <v>53455</v>
      </c>
      <c r="S91" s="128">
        <v>18481</v>
      </c>
      <c r="T91" s="128">
        <v>34974</v>
      </c>
      <c r="U91" s="135"/>
    </row>
    <row r="92" spans="1:21" x14ac:dyDescent="0.2">
      <c r="A92" s="126">
        <v>20</v>
      </c>
      <c r="B92" s="126" t="s">
        <v>249</v>
      </c>
      <c r="C92" s="131" t="s">
        <v>253</v>
      </c>
      <c r="D92" s="126" t="s">
        <v>221</v>
      </c>
      <c r="E92" s="127"/>
      <c r="F92" s="132">
        <v>1323363</v>
      </c>
      <c r="G92" s="128">
        <v>285991</v>
      </c>
      <c r="H92" s="128">
        <v>261986</v>
      </c>
      <c r="I92" s="128">
        <v>178029</v>
      </c>
      <c r="J92" s="128">
        <v>76973</v>
      </c>
      <c r="K92" s="128">
        <v>1876</v>
      </c>
      <c r="L92" s="128">
        <v>2150</v>
      </c>
      <c r="M92" s="128">
        <v>522</v>
      </c>
      <c r="N92" s="128">
        <v>2134</v>
      </c>
      <c r="O92" s="128">
        <v>217</v>
      </c>
      <c r="P92" s="128">
        <v>85</v>
      </c>
      <c r="Q92" s="128">
        <f t="shared" si="1"/>
        <v>5108</v>
      </c>
      <c r="R92" s="128">
        <v>24005</v>
      </c>
      <c r="S92" s="128">
        <v>11540</v>
      </c>
      <c r="T92" s="128">
        <v>12465</v>
      </c>
      <c r="U92" s="135"/>
    </row>
    <row r="93" spans="1:21" x14ac:dyDescent="0.2">
      <c r="A93" s="126">
        <v>113</v>
      </c>
      <c r="B93" s="126" t="s">
        <v>335</v>
      </c>
      <c r="C93" s="126" t="s">
        <v>370</v>
      </c>
      <c r="D93" s="126" t="s">
        <v>356</v>
      </c>
      <c r="E93" s="133" t="s">
        <v>236</v>
      </c>
      <c r="F93" s="126">
        <v>49132</v>
      </c>
      <c r="G93" s="128">
        <v>7300</v>
      </c>
      <c r="H93" s="128">
        <v>6275</v>
      </c>
      <c r="I93" s="128">
        <v>5078</v>
      </c>
      <c r="J93" s="128">
        <v>994</v>
      </c>
      <c r="K93" s="128">
        <v>97</v>
      </c>
      <c r="L93" s="128">
        <v>43</v>
      </c>
      <c r="M93" s="128">
        <v>14</v>
      </c>
      <c r="N93" s="128">
        <v>48</v>
      </c>
      <c r="O93" s="128">
        <v>0</v>
      </c>
      <c r="P93" s="128">
        <v>1</v>
      </c>
      <c r="Q93" s="128">
        <f t="shared" si="1"/>
        <v>106</v>
      </c>
      <c r="R93" s="128">
        <v>1025</v>
      </c>
      <c r="S93" s="128">
        <v>93</v>
      </c>
      <c r="T93" s="128">
        <v>932</v>
      </c>
      <c r="U93" s="135"/>
    </row>
    <row r="94" spans="1:21" x14ac:dyDescent="0.2">
      <c r="A94" s="126">
        <v>91</v>
      </c>
      <c r="B94" s="126" t="s">
        <v>335</v>
      </c>
      <c r="C94" s="126" t="s">
        <v>345</v>
      </c>
      <c r="D94" s="126" t="s">
        <v>221</v>
      </c>
      <c r="E94" s="126"/>
      <c r="F94" s="126">
        <v>325313</v>
      </c>
      <c r="G94" s="128">
        <v>57944</v>
      </c>
      <c r="H94" s="128">
        <v>56835</v>
      </c>
      <c r="I94" s="128">
        <v>6944</v>
      </c>
      <c r="J94" s="128">
        <v>43529</v>
      </c>
      <c r="K94" s="128">
        <v>1593</v>
      </c>
      <c r="L94" s="128">
        <v>1746</v>
      </c>
      <c r="M94" s="128">
        <v>478</v>
      </c>
      <c r="N94" s="128">
        <v>722</v>
      </c>
      <c r="O94" s="128">
        <v>1696</v>
      </c>
      <c r="P94" s="128">
        <v>127</v>
      </c>
      <c r="Q94" s="128">
        <f t="shared" si="1"/>
        <v>4769</v>
      </c>
      <c r="R94" s="128">
        <v>1109</v>
      </c>
      <c r="S94" s="128">
        <v>357</v>
      </c>
      <c r="T94" s="128">
        <v>752</v>
      </c>
      <c r="U94" s="135"/>
    </row>
    <row r="95" spans="1:21" x14ac:dyDescent="0.2">
      <c r="A95" s="126">
        <v>26</v>
      </c>
      <c r="B95" s="126" t="s">
        <v>261</v>
      </c>
      <c r="C95" s="126" t="s">
        <v>262</v>
      </c>
      <c r="D95" s="126" t="s">
        <v>221</v>
      </c>
      <c r="E95" s="127"/>
      <c r="F95" s="126">
        <v>1073427</v>
      </c>
      <c r="G95" s="128">
        <v>199475</v>
      </c>
      <c r="H95" s="128">
        <v>165296</v>
      </c>
      <c r="I95" s="128">
        <v>26637</v>
      </c>
      <c r="J95" s="128">
        <v>130833</v>
      </c>
      <c r="K95" s="128">
        <v>2927</v>
      </c>
      <c r="L95" s="128">
        <v>2073</v>
      </c>
      <c r="M95" s="128">
        <v>739</v>
      </c>
      <c r="N95" s="128">
        <v>1158</v>
      </c>
      <c r="O95" s="128">
        <v>125</v>
      </c>
      <c r="P95" s="128">
        <v>804</v>
      </c>
      <c r="Q95" s="128">
        <f t="shared" si="1"/>
        <v>4899</v>
      </c>
      <c r="R95" s="128">
        <v>34179</v>
      </c>
      <c r="S95" s="128">
        <v>5452</v>
      </c>
      <c r="T95" s="128">
        <v>28727</v>
      </c>
      <c r="U95" s="135"/>
    </row>
    <row r="96" spans="1:21" x14ac:dyDescent="0.2">
      <c r="A96" s="126">
        <v>115</v>
      </c>
      <c r="B96" s="126" t="s">
        <v>335</v>
      </c>
      <c r="C96" s="131" t="s">
        <v>372</v>
      </c>
      <c r="D96" s="126" t="s">
        <v>356</v>
      </c>
      <c r="E96" s="133" t="s">
        <v>236</v>
      </c>
      <c r="F96" s="126">
        <v>70499</v>
      </c>
      <c r="G96" s="128">
        <v>14046</v>
      </c>
      <c r="H96" s="128">
        <v>13102</v>
      </c>
      <c r="I96" s="128">
        <v>11098</v>
      </c>
      <c r="J96" s="128">
        <v>1849</v>
      </c>
      <c r="K96" s="128">
        <v>11</v>
      </c>
      <c r="L96" s="128">
        <v>120</v>
      </c>
      <c r="M96" s="128">
        <v>3</v>
      </c>
      <c r="N96" s="128">
        <v>21</v>
      </c>
      <c r="O96" s="128">
        <v>0</v>
      </c>
      <c r="P96" s="128">
        <v>0</v>
      </c>
      <c r="Q96" s="128">
        <f t="shared" si="1"/>
        <v>144</v>
      </c>
      <c r="R96" s="128">
        <v>944</v>
      </c>
      <c r="S96" s="128">
        <v>487</v>
      </c>
      <c r="T96" s="128">
        <v>457</v>
      </c>
      <c r="U96" s="135"/>
    </row>
    <row r="97" spans="1:21" x14ac:dyDescent="0.2">
      <c r="A97" s="126">
        <v>57</v>
      </c>
      <c r="B97" s="126" t="s">
        <v>301</v>
      </c>
      <c r="C97" s="126" t="s">
        <v>303</v>
      </c>
      <c r="D97" s="126" t="s">
        <v>221</v>
      </c>
      <c r="E97" s="127"/>
      <c r="F97" s="126">
        <v>310976</v>
      </c>
      <c r="G97" s="128">
        <v>70810</v>
      </c>
      <c r="H97" s="128">
        <v>49912</v>
      </c>
      <c r="I97" s="128">
        <v>11559</v>
      </c>
      <c r="J97" s="128">
        <v>35316</v>
      </c>
      <c r="K97" s="128">
        <v>889</v>
      </c>
      <c r="L97" s="128">
        <v>613</v>
      </c>
      <c r="M97" s="128">
        <v>399</v>
      </c>
      <c r="N97" s="128">
        <v>330</v>
      </c>
      <c r="O97" s="128">
        <v>200</v>
      </c>
      <c r="P97" s="128">
        <v>606</v>
      </c>
      <c r="Q97" s="128">
        <f t="shared" si="1"/>
        <v>2148</v>
      </c>
      <c r="R97" s="128">
        <v>20898</v>
      </c>
      <c r="S97" s="128">
        <v>1612</v>
      </c>
      <c r="T97" s="128">
        <v>19286</v>
      </c>
      <c r="U97" s="135"/>
    </row>
    <row r="98" spans="1:21" x14ac:dyDescent="0.2">
      <c r="A98" s="126">
        <v>39</v>
      </c>
      <c r="B98" s="126" t="s">
        <v>274</v>
      </c>
      <c r="C98" s="126" t="s">
        <v>279</v>
      </c>
      <c r="D98" s="126" t="s">
        <v>221</v>
      </c>
      <c r="E98" s="127"/>
      <c r="F98" s="126">
        <v>273296</v>
      </c>
      <c r="G98" s="128">
        <v>51300</v>
      </c>
      <c r="H98" s="128">
        <v>39130</v>
      </c>
      <c r="I98" s="128">
        <v>3608</v>
      </c>
      <c r="J98" s="128">
        <v>34485</v>
      </c>
      <c r="K98" s="128">
        <v>410</v>
      </c>
      <c r="L98" s="128">
        <v>363</v>
      </c>
      <c r="M98" s="128">
        <v>77</v>
      </c>
      <c r="N98" s="128">
        <v>149</v>
      </c>
      <c r="O98" s="128">
        <v>0</v>
      </c>
      <c r="P98" s="128">
        <v>38</v>
      </c>
      <c r="Q98" s="128">
        <f t="shared" si="1"/>
        <v>627</v>
      </c>
      <c r="R98" s="128">
        <v>12170</v>
      </c>
      <c r="S98" s="128">
        <v>4600</v>
      </c>
      <c r="T98" s="128">
        <v>7570</v>
      </c>
      <c r="U98" s="135"/>
    </row>
    <row r="99" spans="1:21" x14ac:dyDescent="0.2">
      <c r="A99" s="126">
        <v>92</v>
      </c>
      <c r="B99" s="126" t="s">
        <v>335</v>
      </c>
      <c r="C99" s="126" t="s">
        <v>346</v>
      </c>
      <c r="D99" s="126" t="s">
        <v>221</v>
      </c>
      <c r="E99" s="126"/>
      <c r="F99" s="126">
        <v>705478</v>
      </c>
      <c r="G99" s="128">
        <v>126156</v>
      </c>
      <c r="H99" s="128">
        <v>117747</v>
      </c>
      <c r="I99" s="128">
        <v>40604</v>
      </c>
      <c r="J99" s="128">
        <v>59748</v>
      </c>
      <c r="K99" s="128">
        <v>2327</v>
      </c>
      <c r="L99" s="128">
        <v>11096</v>
      </c>
      <c r="M99" s="128">
        <v>968</v>
      </c>
      <c r="N99" s="128">
        <v>1287</v>
      </c>
      <c r="O99" s="128">
        <v>1420</v>
      </c>
      <c r="P99" s="128">
        <v>297</v>
      </c>
      <c r="Q99" s="128">
        <f t="shared" si="1"/>
        <v>15068</v>
      </c>
      <c r="R99" s="128">
        <v>8409</v>
      </c>
      <c r="S99" s="128">
        <v>1631</v>
      </c>
      <c r="T99" s="128">
        <v>6778</v>
      </c>
      <c r="U99" s="135"/>
    </row>
    <row r="100" spans="1:21" x14ac:dyDescent="0.2">
      <c r="A100" s="126">
        <v>72</v>
      </c>
      <c r="B100" s="126" t="s">
        <v>317</v>
      </c>
      <c r="C100" s="126" t="s">
        <v>323</v>
      </c>
      <c r="D100" s="126" t="s">
        <v>221</v>
      </c>
      <c r="E100" s="127"/>
      <c r="F100" s="126">
        <v>831038</v>
      </c>
      <c r="G100" s="128">
        <v>215314</v>
      </c>
      <c r="H100" s="128">
        <v>161774</v>
      </c>
      <c r="I100" s="128">
        <v>24053</v>
      </c>
      <c r="J100" s="128">
        <v>93955</v>
      </c>
      <c r="K100" s="128">
        <v>5342</v>
      </c>
      <c r="L100" s="128">
        <v>8028</v>
      </c>
      <c r="M100" s="128">
        <v>637</v>
      </c>
      <c r="N100" s="128">
        <v>29435</v>
      </c>
      <c r="O100" s="128">
        <v>133</v>
      </c>
      <c r="P100" s="128">
        <v>191</v>
      </c>
      <c r="Q100" s="128">
        <f t="shared" si="1"/>
        <v>38424</v>
      </c>
      <c r="R100" s="128">
        <v>53540</v>
      </c>
      <c r="S100" s="128">
        <v>35809</v>
      </c>
      <c r="T100" s="128">
        <v>17731</v>
      </c>
      <c r="U100" s="135"/>
    </row>
    <row r="101" spans="1:21" x14ac:dyDescent="0.2">
      <c r="A101" s="126">
        <v>40</v>
      </c>
      <c r="B101" s="126" t="s">
        <v>274</v>
      </c>
      <c r="C101" s="126" t="s">
        <v>280</v>
      </c>
      <c r="D101" s="126" t="s">
        <v>221</v>
      </c>
      <c r="E101" s="127"/>
      <c r="F101" s="126">
        <v>280222</v>
      </c>
      <c r="G101" s="128">
        <v>51436</v>
      </c>
      <c r="H101" s="128">
        <v>36197</v>
      </c>
      <c r="I101" s="128">
        <v>3676</v>
      </c>
      <c r="J101" s="128">
        <v>31197</v>
      </c>
      <c r="K101" s="128">
        <v>397</v>
      </c>
      <c r="L101" s="128">
        <v>137</v>
      </c>
      <c r="M101" s="128">
        <v>249</v>
      </c>
      <c r="N101" s="128">
        <v>459</v>
      </c>
      <c r="O101" s="128">
        <v>11</v>
      </c>
      <c r="P101" s="128">
        <v>71</v>
      </c>
      <c r="Q101" s="128">
        <f t="shared" si="1"/>
        <v>927</v>
      </c>
      <c r="R101" s="128">
        <v>15239</v>
      </c>
      <c r="S101" s="128">
        <v>651</v>
      </c>
      <c r="T101" s="128">
        <v>14588</v>
      </c>
      <c r="U101" s="135"/>
    </row>
    <row r="102" spans="1:21" x14ac:dyDescent="0.2">
      <c r="A102" s="126">
        <v>53</v>
      </c>
      <c r="B102" s="126" t="s">
        <v>295</v>
      </c>
      <c r="C102" s="126" t="s">
        <v>296</v>
      </c>
      <c r="D102" s="126" t="s">
        <v>221</v>
      </c>
      <c r="E102" s="127"/>
      <c r="F102" s="126">
        <v>354325</v>
      </c>
      <c r="G102" s="128">
        <v>31565</v>
      </c>
      <c r="H102" s="128">
        <v>30911</v>
      </c>
      <c r="I102" s="128">
        <v>3264</v>
      </c>
      <c r="J102" s="128">
        <v>27096</v>
      </c>
      <c r="K102" s="128">
        <v>315</v>
      </c>
      <c r="L102" s="128">
        <v>99</v>
      </c>
      <c r="M102" s="128">
        <v>64</v>
      </c>
      <c r="N102" s="128">
        <v>73</v>
      </c>
      <c r="O102" s="128">
        <v>0</v>
      </c>
      <c r="P102" s="128">
        <v>0</v>
      </c>
      <c r="Q102" s="128">
        <f t="shared" si="1"/>
        <v>236</v>
      </c>
      <c r="R102" s="128">
        <v>654</v>
      </c>
      <c r="S102" s="128">
        <v>394</v>
      </c>
      <c r="T102" s="128">
        <v>260</v>
      </c>
      <c r="U102" s="135"/>
    </row>
    <row r="103" spans="1:21" x14ac:dyDescent="0.2">
      <c r="A103" s="126">
        <v>31</v>
      </c>
      <c r="B103" s="126" t="s">
        <v>263</v>
      </c>
      <c r="C103" s="126" t="s">
        <v>268</v>
      </c>
      <c r="D103" s="126" t="s">
        <v>221</v>
      </c>
      <c r="E103" s="127"/>
      <c r="F103" s="126">
        <v>322428</v>
      </c>
      <c r="G103" s="128">
        <v>74292</v>
      </c>
      <c r="H103" s="128">
        <v>67694</v>
      </c>
      <c r="I103" s="128">
        <v>32154</v>
      </c>
      <c r="J103" s="128">
        <v>21218</v>
      </c>
      <c r="K103" s="128">
        <v>1290</v>
      </c>
      <c r="L103" s="128">
        <v>11990</v>
      </c>
      <c r="M103" s="128">
        <v>177</v>
      </c>
      <c r="N103" s="128">
        <v>827</v>
      </c>
      <c r="O103" s="128">
        <v>0</v>
      </c>
      <c r="P103" s="128">
        <v>38</v>
      </c>
      <c r="Q103" s="128">
        <f t="shared" si="1"/>
        <v>13032</v>
      </c>
      <c r="R103" s="128">
        <v>6598</v>
      </c>
      <c r="S103" s="128">
        <v>1147</v>
      </c>
      <c r="T103" s="128">
        <v>5451</v>
      </c>
      <c r="U103" s="135"/>
    </row>
    <row r="104" spans="1:21" x14ac:dyDescent="0.2">
      <c r="A104" s="126">
        <v>13</v>
      </c>
      <c r="B104" s="126" t="s">
        <v>241</v>
      </c>
      <c r="C104" s="126" t="s">
        <v>242</v>
      </c>
      <c r="D104" s="126" t="s">
        <v>221</v>
      </c>
      <c r="E104" s="127"/>
      <c r="F104" s="126">
        <v>98032</v>
      </c>
      <c r="G104" s="128">
        <v>21978</v>
      </c>
      <c r="H104" s="128">
        <v>18602</v>
      </c>
      <c r="I104" s="128">
        <v>2367</v>
      </c>
      <c r="J104" s="128">
        <v>15988</v>
      </c>
      <c r="K104" s="128">
        <v>97</v>
      </c>
      <c r="L104" s="128">
        <v>133</v>
      </c>
      <c r="M104" s="128">
        <v>16</v>
      </c>
      <c r="N104" s="128">
        <v>1</v>
      </c>
      <c r="O104" s="128">
        <v>0</v>
      </c>
      <c r="P104" s="128">
        <v>0</v>
      </c>
      <c r="Q104" s="128">
        <f t="shared" si="1"/>
        <v>150</v>
      </c>
      <c r="R104" s="128">
        <v>3376</v>
      </c>
      <c r="S104" s="128">
        <v>1384</v>
      </c>
      <c r="T104" s="128">
        <v>1992</v>
      </c>
      <c r="U104" s="135"/>
    </row>
    <row r="105" spans="1:21" x14ac:dyDescent="0.2">
      <c r="A105" s="126">
        <v>50</v>
      </c>
      <c r="B105" s="131" t="s">
        <v>282</v>
      </c>
      <c r="C105" s="131" t="s">
        <v>291</v>
      </c>
      <c r="D105" s="126" t="s">
        <v>221</v>
      </c>
      <c r="E105" s="127" t="s">
        <v>236</v>
      </c>
      <c r="F105" s="132">
        <v>952000</v>
      </c>
      <c r="G105" s="128">
        <v>184971</v>
      </c>
      <c r="H105" s="128">
        <v>119428</v>
      </c>
      <c r="I105" s="128">
        <v>66463</v>
      </c>
      <c r="J105" s="128">
        <v>41290</v>
      </c>
      <c r="K105" s="128">
        <v>771</v>
      </c>
      <c r="L105" s="128">
        <v>5997</v>
      </c>
      <c r="M105" s="128">
        <v>392</v>
      </c>
      <c r="N105" s="128">
        <v>3667</v>
      </c>
      <c r="O105" s="128">
        <v>130</v>
      </c>
      <c r="P105" s="128">
        <v>718</v>
      </c>
      <c r="Q105" s="128">
        <f t="shared" si="1"/>
        <v>10904</v>
      </c>
      <c r="R105" s="128">
        <v>65543</v>
      </c>
      <c r="S105" s="128">
        <v>41029</v>
      </c>
      <c r="T105" s="128">
        <v>24514</v>
      </c>
      <c r="U105" s="135"/>
    </row>
    <row r="106" spans="1:21" x14ac:dyDescent="0.2">
      <c r="A106" s="126">
        <v>101</v>
      </c>
      <c r="B106" s="126" t="s">
        <v>222</v>
      </c>
      <c r="C106" s="126" t="s">
        <v>358</v>
      </c>
      <c r="D106" s="126" t="s">
        <v>356</v>
      </c>
      <c r="E106" s="133" t="s">
        <v>236</v>
      </c>
      <c r="F106" s="126">
        <v>125939</v>
      </c>
      <c r="G106" s="128">
        <v>34351</v>
      </c>
      <c r="H106" s="128">
        <v>28524</v>
      </c>
      <c r="I106" s="128">
        <v>1706</v>
      </c>
      <c r="J106" s="128">
        <v>25293</v>
      </c>
      <c r="K106" s="128">
        <v>197</v>
      </c>
      <c r="L106" s="128">
        <v>885</v>
      </c>
      <c r="M106" s="128">
        <v>21</v>
      </c>
      <c r="N106" s="128">
        <v>224</v>
      </c>
      <c r="O106" s="128">
        <v>29</v>
      </c>
      <c r="P106" s="128">
        <v>169</v>
      </c>
      <c r="Q106" s="128">
        <f t="shared" si="1"/>
        <v>1328</v>
      </c>
      <c r="R106" s="128">
        <v>5827</v>
      </c>
      <c r="S106" s="128">
        <v>768</v>
      </c>
      <c r="T106" s="128">
        <v>5059</v>
      </c>
      <c r="U106" s="135"/>
    </row>
    <row r="107" spans="1:21" x14ac:dyDescent="0.2">
      <c r="A107" s="126">
        <v>21</v>
      </c>
      <c r="B107" s="126" t="s">
        <v>249</v>
      </c>
      <c r="C107" s="131" t="s">
        <v>254</v>
      </c>
      <c r="D107" s="126" t="s">
        <v>221</v>
      </c>
      <c r="E107" s="127"/>
      <c r="F107" s="132">
        <v>4467797</v>
      </c>
      <c r="G107" s="128">
        <v>958294</v>
      </c>
      <c r="H107" s="128">
        <v>905903</v>
      </c>
      <c r="I107" s="128">
        <v>817638</v>
      </c>
      <c r="J107" s="128">
        <v>77628</v>
      </c>
      <c r="K107" s="128">
        <v>1256</v>
      </c>
      <c r="L107" s="128">
        <v>4108</v>
      </c>
      <c r="M107" s="128">
        <v>838</v>
      </c>
      <c r="N107" s="128">
        <v>4040</v>
      </c>
      <c r="O107" s="128">
        <v>307</v>
      </c>
      <c r="P107" s="128">
        <v>88</v>
      </c>
      <c r="Q107" s="128">
        <f t="shared" si="1"/>
        <v>9381</v>
      </c>
      <c r="R107" s="128">
        <v>52391</v>
      </c>
      <c r="S107" s="128">
        <v>37609</v>
      </c>
      <c r="T107" s="128">
        <v>14782</v>
      </c>
      <c r="U107" s="135"/>
    </row>
    <row r="108" spans="1:21" x14ac:dyDescent="0.2">
      <c r="A108" s="126">
        <v>51</v>
      </c>
      <c r="B108" s="131" t="s">
        <v>282</v>
      </c>
      <c r="C108" s="131" t="s">
        <v>292</v>
      </c>
      <c r="D108" s="126" t="s">
        <v>221</v>
      </c>
      <c r="E108" s="127"/>
      <c r="F108" s="132">
        <v>1841000</v>
      </c>
      <c r="G108" s="128">
        <v>418629</v>
      </c>
      <c r="H108" s="128">
        <v>298802</v>
      </c>
      <c r="I108" s="128">
        <v>190040</v>
      </c>
      <c r="J108" s="128">
        <v>96101</v>
      </c>
      <c r="K108" s="128">
        <v>2798</v>
      </c>
      <c r="L108" s="128">
        <v>3988</v>
      </c>
      <c r="M108" s="128">
        <v>586</v>
      </c>
      <c r="N108" s="128">
        <v>3827</v>
      </c>
      <c r="O108" s="128">
        <v>59</v>
      </c>
      <c r="P108" s="128">
        <v>1403</v>
      </c>
      <c r="Q108" s="128">
        <f t="shared" si="1"/>
        <v>9863</v>
      </c>
      <c r="R108" s="128">
        <v>119827</v>
      </c>
      <c r="S108" s="128">
        <v>107984</v>
      </c>
      <c r="T108" s="128">
        <v>11843</v>
      </c>
      <c r="U108" s="135"/>
    </row>
    <row r="109" spans="1:21" x14ac:dyDescent="0.2">
      <c r="A109" s="126">
        <v>73</v>
      </c>
      <c r="B109" s="126" t="s">
        <v>317</v>
      </c>
      <c r="C109" s="126" t="s">
        <v>324</v>
      </c>
      <c r="D109" s="126" t="s">
        <v>221</v>
      </c>
      <c r="E109" s="127"/>
      <c r="F109" s="126">
        <v>222943</v>
      </c>
      <c r="G109" s="128">
        <v>56420</v>
      </c>
      <c r="H109" s="128">
        <v>47453</v>
      </c>
      <c r="I109" s="128">
        <v>18942</v>
      </c>
      <c r="J109" s="128">
        <v>18492</v>
      </c>
      <c r="K109" s="128">
        <v>1222</v>
      </c>
      <c r="L109" s="128">
        <v>1115</v>
      </c>
      <c r="M109" s="128">
        <v>307</v>
      </c>
      <c r="N109" s="128">
        <v>7310</v>
      </c>
      <c r="O109" s="128">
        <v>32</v>
      </c>
      <c r="P109" s="128">
        <v>33</v>
      </c>
      <c r="Q109" s="128">
        <f t="shared" si="1"/>
        <v>8797</v>
      </c>
      <c r="R109" s="128">
        <v>8967</v>
      </c>
      <c r="S109" s="128">
        <v>4836</v>
      </c>
      <c r="T109" s="128">
        <v>4131</v>
      </c>
      <c r="U109" s="135"/>
    </row>
    <row r="110" spans="1:21" x14ac:dyDescent="0.2">
      <c r="A110" s="126">
        <v>74</v>
      </c>
      <c r="B110" s="126" t="s">
        <v>317</v>
      </c>
      <c r="C110" s="126" t="s">
        <v>325</v>
      </c>
      <c r="D110" s="126" t="s">
        <v>221</v>
      </c>
      <c r="E110" s="127"/>
      <c r="F110" s="126">
        <v>370896</v>
      </c>
      <c r="G110" s="128">
        <v>61073</v>
      </c>
      <c r="H110" s="128">
        <v>56468</v>
      </c>
      <c r="I110" s="128">
        <v>14685</v>
      </c>
      <c r="J110" s="128">
        <v>37444</v>
      </c>
      <c r="K110" s="128">
        <v>571</v>
      </c>
      <c r="L110" s="128">
        <v>2816</v>
      </c>
      <c r="M110" s="128">
        <v>204</v>
      </c>
      <c r="N110" s="128">
        <v>746</v>
      </c>
      <c r="O110" s="128">
        <v>0</v>
      </c>
      <c r="P110" s="128">
        <v>2</v>
      </c>
      <c r="Q110" s="128">
        <f t="shared" si="1"/>
        <v>3768</v>
      </c>
      <c r="R110" s="128">
        <v>4605</v>
      </c>
      <c r="S110" s="128">
        <v>2987</v>
      </c>
      <c r="T110" s="128">
        <v>1618</v>
      </c>
      <c r="U110" s="135"/>
    </row>
    <row r="111" spans="1:21" x14ac:dyDescent="0.2">
      <c r="A111" s="126">
        <v>75</v>
      </c>
      <c r="B111" s="126" t="s">
        <v>317</v>
      </c>
      <c r="C111" s="126" t="s">
        <v>326</v>
      </c>
      <c r="D111" s="126" t="s">
        <v>221</v>
      </c>
      <c r="E111" s="127" t="s">
        <v>236</v>
      </c>
      <c r="F111" s="126">
        <v>916674</v>
      </c>
      <c r="G111" s="128">
        <v>215024</v>
      </c>
      <c r="H111" s="128">
        <v>174757</v>
      </c>
      <c r="I111" s="128">
        <v>96891</v>
      </c>
      <c r="J111" s="128">
        <v>59027</v>
      </c>
      <c r="K111" s="128">
        <v>2681</v>
      </c>
      <c r="L111" s="128">
        <v>4436</v>
      </c>
      <c r="M111" s="128">
        <v>716</v>
      </c>
      <c r="N111" s="128">
        <v>10301</v>
      </c>
      <c r="O111" s="128">
        <v>459</v>
      </c>
      <c r="P111" s="128">
        <v>246</v>
      </c>
      <c r="Q111" s="128">
        <f t="shared" si="1"/>
        <v>16158</v>
      </c>
      <c r="R111" s="128">
        <v>40267</v>
      </c>
      <c r="S111" s="128">
        <v>30008</v>
      </c>
      <c r="T111" s="128">
        <v>10259</v>
      </c>
      <c r="U111" s="135"/>
    </row>
    <row r="112" spans="1:21" x14ac:dyDescent="0.2">
      <c r="A112" s="126">
        <v>76</v>
      </c>
      <c r="B112" s="126" t="s">
        <v>317</v>
      </c>
      <c r="C112" s="126" t="s">
        <v>327</v>
      </c>
      <c r="D112" s="126" t="s">
        <v>221</v>
      </c>
      <c r="E112" s="126"/>
      <c r="F112" s="126">
        <v>474838</v>
      </c>
      <c r="G112" s="128">
        <v>119833</v>
      </c>
      <c r="H112" s="128">
        <v>99597</v>
      </c>
      <c r="I112" s="128">
        <v>43436</v>
      </c>
      <c r="J112" s="128">
        <v>42507</v>
      </c>
      <c r="K112" s="128">
        <v>1686</v>
      </c>
      <c r="L112" s="128">
        <v>6066</v>
      </c>
      <c r="M112" s="128">
        <v>133</v>
      </c>
      <c r="N112" s="128">
        <v>5522</v>
      </c>
      <c r="O112" s="128">
        <v>109</v>
      </c>
      <c r="P112" s="128">
        <v>138</v>
      </c>
      <c r="Q112" s="128">
        <f t="shared" si="1"/>
        <v>11968</v>
      </c>
      <c r="R112" s="128">
        <v>20236</v>
      </c>
      <c r="S112" s="128">
        <v>9231</v>
      </c>
      <c r="T112" s="128">
        <v>11005</v>
      </c>
      <c r="U112" s="135"/>
    </row>
    <row r="113" spans="1:21" x14ac:dyDescent="0.2">
      <c r="A113" s="126">
        <v>3</v>
      </c>
      <c r="B113" s="126" t="s">
        <v>222</v>
      </c>
      <c r="C113" s="126" t="s">
        <v>224</v>
      </c>
      <c r="D113" s="126" t="s">
        <v>221</v>
      </c>
      <c r="E113" s="127"/>
      <c r="F113" s="126">
        <v>374260</v>
      </c>
      <c r="G113" s="128">
        <v>70134</v>
      </c>
      <c r="H113" s="128">
        <v>67519</v>
      </c>
      <c r="I113" s="128">
        <v>50786</v>
      </c>
      <c r="J113" s="128">
        <v>12645</v>
      </c>
      <c r="K113" s="128">
        <v>645</v>
      </c>
      <c r="L113" s="128">
        <v>1065</v>
      </c>
      <c r="M113" s="128">
        <v>36</v>
      </c>
      <c r="N113" s="128">
        <v>2093</v>
      </c>
      <c r="O113" s="128">
        <v>27</v>
      </c>
      <c r="P113" s="128">
        <v>222</v>
      </c>
      <c r="Q113" s="128">
        <f t="shared" si="1"/>
        <v>3443</v>
      </c>
      <c r="R113" s="128">
        <v>2615</v>
      </c>
      <c r="S113" s="128">
        <v>557</v>
      </c>
      <c r="T113" s="128">
        <v>2058</v>
      </c>
      <c r="U113" s="135"/>
    </row>
    <row r="114" spans="1:21" x14ac:dyDescent="0.2">
      <c r="A114" s="126">
        <v>77</v>
      </c>
      <c r="B114" s="126" t="s">
        <v>317</v>
      </c>
      <c r="C114" s="126" t="s">
        <v>328</v>
      </c>
      <c r="D114" s="126" t="s">
        <v>221</v>
      </c>
      <c r="E114" s="126"/>
      <c r="F114" s="126">
        <v>877778</v>
      </c>
      <c r="G114" s="128">
        <v>117180</v>
      </c>
      <c r="H114" s="128">
        <v>103202</v>
      </c>
      <c r="I114" s="128">
        <v>32039</v>
      </c>
      <c r="J114" s="128">
        <v>64197</v>
      </c>
      <c r="K114" s="128">
        <v>826</v>
      </c>
      <c r="L114" s="128">
        <v>5042</v>
      </c>
      <c r="M114" s="128">
        <v>154</v>
      </c>
      <c r="N114" s="128">
        <v>874</v>
      </c>
      <c r="O114" s="128">
        <v>0</v>
      </c>
      <c r="P114" s="128">
        <v>70</v>
      </c>
      <c r="Q114" s="128">
        <f t="shared" si="1"/>
        <v>6140</v>
      </c>
      <c r="R114" s="128">
        <v>13978</v>
      </c>
      <c r="S114" s="128">
        <v>10772</v>
      </c>
      <c r="T114" s="128">
        <v>3206</v>
      </c>
      <c r="U114" s="135" t="s">
        <v>230</v>
      </c>
    </row>
    <row r="115" spans="1:21" x14ac:dyDescent="0.2">
      <c r="A115" s="126">
        <v>32</v>
      </c>
      <c r="B115" s="126" t="s">
        <v>263</v>
      </c>
      <c r="C115" s="126" t="s">
        <v>269</v>
      </c>
      <c r="D115" s="126" t="s">
        <v>221</v>
      </c>
      <c r="E115" s="127" t="s">
        <v>236</v>
      </c>
      <c r="F115" s="126">
        <v>305821</v>
      </c>
      <c r="G115" s="128">
        <v>71431</v>
      </c>
      <c r="H115" s="128">
        <v>64647</v>
      </c>
      <c r="I115" s="128">
        <v>35693</v>
      </c>
      <c r="J115" s="128">
        <v>14491</v>
      </c>
      <c r="K115" s="128">
        <v>1500</v>
      </c>
      <c r="L115" s="128">
        <v>12187</v>
      </c>
      <c r="M115" s="128">
        <v>195</v>
      </c>
      <c r="N115" s="128">
        <v>182</v>
      </c>
      <c r="O115" s="128">
        <v>180</v>
      </c>
      <c r="P115" s="128">
        <v>219</v>
      </c>
      <c r="Q115" s="128">
        <f t="shared" si="1"/>
        <v>12963</v>
      </c>
      <c r="R115" s="128">
        <v>6784</v>
      </c>
      <c r="S115" s="128">
        <v>1478</v>
      </c>
      <c r="T115" s="128">
        <v>5306</v>
      </c>
      <c r="U115" s="135"/>
    </row>
    <row r="116" spans="1:21" x14ac:dyDescent="0.2">
      <c r="A116" s="126">
        <v>65</v>
      </c>
      <c r="B116" s="126" t="s">
        <v>310</v>
      </c>
      <c r="C116" s="126" t="s">
        <v>314</v>
      </c>
      <c r="D116" s="126" t="s">
        <v>221</v>
      </c>
      <c r="E116" s="127"/>
      <c r="F116" s="126">
        <v>475150</v>
      </c>
      <c r="G116" s="128">
        <v>88857</v>
      </c>
      <c r="H116" s="128">
        <v>83364</v>
      </c>
      <c r="I116" s="128">
        <v>13709</v>
      </c>
      <c r="J116" s="128">
        <v>68828</v>
      </c>
      <c r="K116" s="128">
        <v>333</v>
      </c>
      <c r="L116" s="128">
        <v>298</v>
      </c>
      <c r="M116" s="128">
        <v>22</v>
      </c>
      <c r="N116" s="128">
        <v>109</v>
      </c>
      <c r="O116" s="128">
        <v>0</v>
      </c>
      <c r="P116" s="128">
        <v>65</v>
      </c>
      <c r="Q116" s="128">
        <f t="shared" si="1"/>
        <v>494</v>
      </c>
      <c r="R116" s="128">
        <v>5493</v>
      </c>
      <c r="S116" s="128">
        <v>1432</v>
      </c>
      <c r="T116" s="128">
        <v>4061</v>
      </c>
      <c r="U116" s="135"/>
    </row>
    <row r="117" spans="1:21" x14ac:dyDescent="0.2">
      <c r="A117" s="126">
        <v>41</v>
      </c>
      <c r="B117" s="126" t="s">
        <v>274</v>
      </c>
      <c r="C117" s="126" t="s">
        <v>281</v>
      </c>
      <c r="D117" s="126" t="s">
        <v>221</v>
      </c>
      <c r="E117" s="127"/>
      <c r="F117" s="126">
        <v>515215</v>
      </c>
      <c r="G117" s="128">
        <v>97736</v>
      </c>
      <c r="H117" s="128">
        <v>85597</v>
      </c>
      <c r="I117" s="128">
        <v>13413</v>
      </c>
      <c r="J117" s="128">
        <v>69255</v>
      </c>
      <c r="K117" s="128">
        <v>931</v>
      </c>
      <c r="L117" s="128">
        <v>408</v>
      </c>
      <c r="M117" s="128">
        <v>171</v>
      </c>
      <c r="N117" s="128">
        <v>1243</v>
      </c>
      <c r="O117" s="128">
        <v>136</v>
      </c>
      <c r="P117" s="128">
        <v>40</v>
      </c>
      <c r="Q117" s="128">
        <f t="shared" si="1"/>
        <v>1998</v>
      </c>
      <c r="R117" s="128">
        <v>12139</v>
      </c>
      <c r="S117" s="128">
        <v>5049</v>
      </c>
      <c r="T117" s="128">
        <v>7090</v>
      </c>
      <c r="U117" s="135"/>
    </row>
    <row r="118" spans="1:21" x14ac:dyDescent="0.2">
      <c r="A118" s="126">
        <v>114</v>
      </c>
      <c r="B118" s="126" t="s">
        <v>335</v>
      </c>
      <c r="C118" s="126" t="s">
        <v>371</v>
      </c>
      <c r="D118" s="126" t="s">
        <v>356</v>
      </c>
      <c r="E118" s="133" t="s">
        <v>233</v>
      </c>
      <c r="F118" s="126">
        <v>177658</v>
      </c>
      <c r="G118" s="128">
        <v>31042</v>
      </c>
      <c r="H118" s="128">
        <v>25867</v>
      </c>
      <c r="I118" s="128">
        <v>6115</v>
      </c>
      <c r="J118" s="128">
        <v>17837</v>
      </c>
      <c r="K118" s="128">
        <v>471</v>
      </c>
      <c r="L118" s="128">
        <v>409</v>
      </c>
      <c r="M118" s="128">
        <v>113</v>
      </c>
      <c r="N118" s="128">
        <v>583</v>
      </c>
      <c r="O118" s="128">
        <v>306</v>
      </c>
      <c r="P118" s="128">
        <v>33</v>
      </c>
      <c r="Q118" s="128">
        <f t="shared" si="1"/>
        <v>1444</v>
      </c>
      <c r="R118" s="128">
        <v>5175</v>
      </c>
      <c r="S118" s="128">
        <v>245</v>
      </c>
      <c r="T118" s="128">
        <v>4930</v>
      </c>
      <c r="U118" s="135"/>
    </row>
    <row r="119" spans="1:21" x14ac:dyDescent="0.2">
      <c r="A119" s="126">
        <v>22</v>
      </c>
      <c r="B119" s="126" t="s">
        <v>249</v>
      </c>
      <c r="C119" s="131" t="s">
        <v>255</v>
      </c>
      <c r="D119" s="126" t="s">
        <v>221</v>
      </c>
      <c r="E119" s="127"/>
      <c r="F119" s="132">
        <v>1752371</v>
      </c>
      <c r="G119" s="128">
        <v>396140</v>
      </c>
      <c r="H119" s="128">
        <v>371543</v>
      </c>
      <c r="I119" s="128">
        <v>338564</v>
      </c>
      <c r="J119" s="128">
        <v>27565</v>
      </c>
      <c r="K119" s="128">
        <v>1509</v>
      </c>
      <c r="L119" s="128">
        <v>2666</v>
      </c>
      <c r="M119" s="128">
        <v>588</v>
      </c>
      <c r="N119" s="128">
        <v>439</v>
      </c>
      <c r="O119" s="128">
        <v>59</v>
      </c>
      <c r="P119" s="128">
        <v>153</v>
      </c>
      <c r="Q119" s="128">
        <f t="shared" si="1"/>
        <v>3905</v>
      </c>
      <c r="R119" s="128">
        <v>24597</v>
      </c>
      <c r="S119" s="128">
        <v>6004</v>
      </c>
      <c r="T119" s="128">
        <v>18593</v>
      </c>
      <c r="U119" s="135"/>
    </row>
    <row r="120" spans="1:21" x14ac:dyDescent="0.2">
      <c r="A120" s="126">
        <v>93</v>
      </c>
      <c r="B120" s="126" t="s">
        <v>335</v>
      </c>
      <c r="C120" s="126" t="s">
        <v>347</v>
      </c>
      <c r="D120" s="126" t="s">
        <v>221</v>
      </c>
      <c r="E120" s="126"/>
      <c r="F120" s="126">
        <v>1198491</v>
      </c>
      <c r="G120" s="128">
        <v>180805</v>
      </c>
      <c r="H120" s="128">
        <v>171377</v>
      </c>
      <c r="I120" s="128">
        <v>141184</v>
      </c>
      <c r="J120" s="128">
        <v>23713</v>
      </c>
      <c r="K120" s="128">
        <v>2204</v>
      </c>
      <c r="L120" s="128">
        <v>1403</v>
      </c>
      <c r="M120" s="128">
        <v>1038</v>
      </c>
      <c r="N120" s="128">
        <v>770</v>
      </c>
      <c r="O120" s="128">
        <v>213</v>
      </c>
      <c r="P120" s="128">
        <v>852</v>
      </c>
      <c r="Q120" s="128">
        <f t="shared" si="1"/>
        <v>4276</v>
      </c>
      <c r="R120" s="128">
        <v>9428</v>
      </c>
      <c r="S120" s="128">
        <v>2467</v>
      </c>
      <c r="T120" s="128">
        <v>6961</v>
      </c>
      <c r="U120" s="135"/>
    </row>
    <row r="121" spans="1:21" x14ac:dyDescent="0.2">
      <c r="A121" s="126">
        <v>78</v>
      </c>
      <c r="B121" s="126" t="s">
        <v>317</v>
      </c>
      <c r="C121" s="126" t="s">
        <v>329</v>
      </c>
      <c r="D121" s="126" t="s">
        <v>221</v>
      </c>
      <c r="E121" s="126"/>
      <c r="F121" s="126">
        <v>504079</v>
      </c>
      <c r="G121" s="128">
        <v>41343</v>
      </c>
      <c r="H121" s="128">
        <v>34633</v>
      </c>
      <c r="I121" s="128">
        <v>3603</v>
      </c>
      <c r="J121" s="128">
        <v>12536</v>
      </c>
      <c r="K121" s="128">
        <v>1731</v>
      </c>
      <c r="L121" s="128">
        <v>1219</v>
      </c>
      <c r="M121" s="128">
        <v>377</v>
      </c>
      <c r="N121" s="128">
        <v>15152</v>
      </c>
      <c r="O121" s="128">
        <v>0</v>
      </c>
      <c r="P121" s="128">
        <v>15</v>
      </c>
      <c r="Q121" s="128">
        <f t="shared" si="1"/>
        <v>16763</v>
      </c>
      <c r="R121" s="128">
        <v>6710</v>
      </c>
      <c r="S121" s="128">
        <v>2680</v>
      </c>
      <c r="T121" s="128">
        <v>4030</v>
      </c>
      <c r="U121" s="135" t="s">
        <v>230</v>
      </c>
    </row>
    <row r="122" spans="1:21" x14ac:dyDescent="0.2">
      <c r="A122" s="126">
        <v>4</v>
      </c>
      <c r="B122" s="126" t="s">
        <v>222</v>
      </c>
      <c r="C122" s="126" t="s">
        <v>225</v>
      </c>
      <c r="D122" s="126" t="s">
        <v>221</v>
      </c>
      <c r="E122" s="127"/>
      <c r="F122" s="126">
        <v>1878980</v>
      </c>
      <c r="G122" s="128">
        <v>463915</v>
      </c>
      <c r="H122" s="128">
        <v>399467</v>
      </c>
      <c r="I122" s="128">
        <v>121207</v>
      </c>
      <c r="J122" s="128">
        <v>263867</v>
      </c>
      <c r="K122" s="128">
        <v>2672</v>
      </c>
      <c r="L122" s="128">
        <v>5654</v>
      </c>
      <c r="M122" s="128">
        <v>322</v>
      </c>
      <c r="N122" s="128">
        <v>2858</v>
      </c>
      <c r="O122" s="128">
        <v>689</v>
      </c>
      <c r="P122" s="128">
        <v>2198</v>
      </c>
      <c r="Q122" s="128">
        <f t="shared" si="1"/>
        <v>11721</v>
      </c>
      <c r="R122" s="128">
        <v>64448</v>
      </c>
      <c r="S122" s="128">
        <v>19015</v>
      </c>
      <c r="T122" s="128">
        <v>45433</v>
      </c>
      <c r="U122" s="135"/>
    </row>
    <row r="123" spans="1:21" x14ac:dyDescent="0.2">
      <c r="A123" s="126">
        <v>80</v>
      </c>
      <c r="B123" s="126" t="s">
        <v>330</v>
      </c>
      <c r="C123" s="126" t="s">
        <v>332</v>
      </c>
      <c r="D123" s="126" t="s">
        <v>221</v>
      </c>
      <c r="E123" s="126"/>
      <c r="F123" s="126">
        <v>819406</v>
      </c>
      <c r="G123" s="128">
        <v>167636</v>
      </c>
      <c r="H123" s="128">
        <v>143905</v>
      </c>
      <c r="I123" s="128">
        <v>19422</v>
      </c>
      <c r="J123" s="128">
        <v>81087</v>
      </c>
      <c r="K123" s="128">
        <v>7386</v>
      </c>
      <c r="L123" s="128">
        <v>10694</v>
      </c>
      <c r="M123" s="128">
        <v>1151</v>
      </c>
      <c r="N123" s="128">
        <v>23858</v>
      </c>
      <c r="O123" s="128">
        <v>11</v>
      </c>
      <c r="P123" s="128">
        <v>296</v>
      </c>
      <c r="Q123" s="128">
        <f t="shared" si="1"/>
        <v>36010</v>
      </c>
      <c r="R123" s="128">
        <v>23731</v>
      </c>
      <c r="S123" s="128">
        <v>1111</v>
      </c>
      <c r="T123" s="128">
        <v>22620</v>
      </c>
      <c r="U123" s="135"/>
    </row>
  </sheetData>
  <sheetProtection password="DCCD" sheet="1" objects="1" scenarios="1" selectLockedCells="1"/>
  <mergeCells count="19">
    <mergeCell ref="O3:P4"/>
    <mergeCell ref="S3:T4"/>
    <mergeCell ref="Q1:Q5"/>
    <mergeCell ref="U1:U5"/>
    <mergeCell ref="A2:A5"/>
    <mergeCell ref="B2:B5"/>
    <mergeCell ref="C2:C5"/>
    <mergeCell ref="D2:D5"/>
    <mergeCell ref="E2:E5"/>
    <mergeCell ref="F2:F5"/>
    <mergeCell ref="I3:K4"/>
    <mergeCell ref="L3:M4"/>
    <mergeCell ref="N3:N5"/>
    <mergeCell ref="A1:C1"/>
    <mergeCell ref="G1:G5"/>
    <mergeCell ref="H1:H5"/>
    <mergeCell ref="I1:P2"/>
    <mergeCell ref="R1:R5"/>
    <mergeCell ref="S1:T2"/>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zoomScale="76" zoomScaleNormal="76" zoomScalePageLayoutView="76" workbookViewId="0">
      <selection activeCell="D23" sqref="D23"/>
    </sheetView>
  </sheetViews>
  <sheetFormatPr baseColWidth="10" defaultColWidth="10.83203125" defaultRowHeight="16" x14ac:dyDescent="0.2"/>
  <cols>
    <col min="1" max="1" width="65.5" style="110" customWidth="1"/>
    <col min="2" max="16384" width="10.83203125" style="110"/>
  </cols>
  <sheetData>
    <row r="1" spans="1:1" ht="44" customHeight="1" x14ac:dyDescent="0.2">
      <c r="A1" s="155" t="s">
        <v>148</v>
      </c>
    </row>
    <row r="3" spans="1:1" ht="17" thickBot="1" x14ac:dyDescent="0.25">
      <c r="A3" s="156" t="s">
        <v>149</v>
      </c>
    </row>
    <row r="4" spans="1:1" ht="17" thickBot="1" x14ac:dyDescent="0.25">
      <c r="A4" s="192" t="s">
        <v>152</v>
      </c>
    </row>
    <row r="5" spans="1:1" x14ac:dyDescent="0.2">
      <c r="A5" s="110" t="s">
        <v>151</v>
      </c>
    </row>
    <row r="9" spans="1:1" ht="17" thickBot="1" x14ac:dyDescent="0.25">
      <c r="A9" s="156" t="s">
        <v>428</v>
      </c>
    </row>
    <row r="10" spans="1:1" ht="17" thickBot="1" x14ac:dyDescent="0.25">
      <c r="A10" s="192" t="s">
        <v>427</v>
      </c>
    </row>
    <row r="11" spans="1:1" x14ac:dyDescent="0.2">
      <c r="A11" s="110" t="s">
        <v>151</v>
      </c>
    </row>
  </sheetData>
  <sheetProtection selectLockedCells="1"/>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DROPDOWN!$A$3:$A$5</xm:f>
          </x14:formula1>
          <xm:sqref>A4</xm:sqref>
        </x14:dataValidation>
        <x14:dataValidation type="list" allowBlank="1" showInputMessage="1" showErrorMessage="1">
          <x14:formula1>
            <xm:f>DROPDOWN!$A$10:$A$11</xm:f>
          </x14:formula1>
          <xm:sqref>A10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topLeftCell="A9" workbookViewId="0">
      <selection activeCell="A2" sqref="A2:I2"/>
    </sheetView>
  </sheetViews>
  <sheetFormatPr baseColWidth="10" defaultColWidth="10.83203125" defaultRowHeight="16" x14ac:dyDescent="0.2"/>
  <cols>
    <col min="1" max="1" width="4.6640625" style="158" customWidth="1"/>
    <col min="2" max="6" width="10.83203125" style="158"/>
    <col min="7" max="7" width="13.33203125" style="158" bestFit="1" customWidth="1"/>
    <col min="8" max="8" width="16" style="158" bestFit="1" customWidth="1"/>
    <col min="9" max="9" width="13.33203125" style="158" bestFit="1" customWidth="1"/>
    <col min="10" max="11" width="10.83203125" style="158"/>
    <col min="12" max="12" width="18" style="158" customWidth="1"/>
    <col min="13" max="16384" width="10.83203125" style="158"/>
  </cols>
  <sheetData>
    <row r="1" spans="1:9" s="157" customFormat="1" ht="58" customHeight="1" x14ac:dyDescent="0.2">
      <c r="A1" s="208" t="s">
        <v>387</v>
      </c>
      <c r="B1" s="208"/>
      <c r="C1" s="208"/>
      <c r="D1" s="208"/>
      <c r="E1" s="208"/>
      <c r="F1" s="208"/>
      <c r="G1" s="208"/>
      <c r="H1" s="208"/>
      <c r="I1" s="208"/>
    </row>
    <row r="2" spans="1:9" ht="28" x14ac:dyDescent="0.2">
      <c r="A2" s="209" t="s">
        <v>298</v>
      </c>
      <c r="B2" s="209"/>
      <c r="C2" s="209"/>
      <c r="D2" s="209"/>
      <c r="E2" s="209"/>
      <c r="F2" s="209"/>
      <c r="G2" s="209"/>
      <c r="H2" s="209"/>
      <c r="I2" s="209"/>
    </row>
    <row r="4" spans="1:9" x14ac:dyDescent="0.2">
      <c r="A4" s="202" t="s">
        <v>390</v>
      </c>
      <c r="B4" s="202"/>
      <c r="C4" s="202"/>
      <c r="D4" s="202"/>
      <c r="E4" s="202"/>
      <c r="F4" s="202"/>
      <c r="G4" s="202"/>
      <c r="H4" s="202"/>
      <c r="I4" s="202"/>
    </row>
    <row r="5" spans="1:9" ht="33" customHeight="1" x14ac:dyDescent="0.2">
      <c r="A5" s="200" t="s">
        <v>424</v>
      </c>
      <c r="B5" s="200"/>
      <c r="C5" s="200"/>
      <c r="D5" s="200"/>
      <c r="E5" s="200"/>
      <c r="F5" s="200"/>
      <c r="G5" s="200"/>
      <c r="H5" s="200"/>
      <c r="I5" s="200"/>
    </row>
    <row r="6" spans="1:9" x14ac:dyDescent="0.2">
      <c r="A6" s="200"/>
      <c r="B6" s="200"/>
      <c r="C6" s="200"/>
      <c r="D6" s="200"/>
      <c r="E6" s="200"/>
      <c r="F6" s="200"/>
      <c r="G6" s="200"/>
      <c r="H6" s="200"/>
      <c r="I6" s="200"/>
    </row>
    <row r="7" spans="1:9" x14ac:dyDescent="0.2">
      <c r="A7" s="200"/>
      <c r="B7" s="200"/>
      <c r="C7" s="200"/>
      <c r="D7" s="200"/>
      <c r="E7" s="200"/>
      <c r="F7" s="200"/>
      <c r="G7" s="200"/>
      <c r="H7" s="200"/>
      <c r="I7" s="200"/>
    </row>
    <row r="8" spans="1:9" x14ac:dyDescent="0.2">
      <c r="A8" s="200"/>
      <c r="B8" s="200"/>
      <c r="C8" s="200"/>
      <c r="D8" s="200"/>
      <c r="E8" s="200"/>
      <c r="F8" s="200"/>
      <c r="G8" s="200"/>
      <c r="H8" s="200"/>
      <c r="I8" s="200"/>
    </row>
    <row r="9" spans="1:9" x14ac:dyDescent="0.2">
      <c r="A9" s="200"/>
      <c r="B9" s="200"/>
      <c r="C9" s="200"/>
      <c r="D9" s="200"/>
      <c r="E9" s="200"/>
      <c r="F9" s="200"/>
      <c r="G9" s="200"/>
      <c r="H9" s="200"/>
      <c r="I9" s="200"/>
    </row>
    <row r="10" spans="1:9" x14ac:dyDescent="0.2">
      <c r="A10" s="200"/>
      <c r="B10" s="200"/>
      <c r="C10" s="200"/>
      <c r="D10" s="200"/>
      <c r="E10" s="200"/>
      <c r="F10" s="200"/>
      <c r="G10" s="200"/>
      <c r="H10" s="200"/>
      <c r="I10" s="200"/>
    </row>
    <row r="11" spans="1:9" x14ac:dyDescent="0.2">
      <c r="A11" s="200"/>
      <c r="B11" s="200"/>
      <c r="C11" s="200"/>
      <c r="D11" s="200"/>
      <c r="E11" s="200"/>
      <c r="F11" s="200"/>
      <c r="G11" s="200"/>
      <c r="H11" s="200"/>
      <c r="I11" s="200"/>
    </row>
    <row r="12" spans="1:9" x14ac:dyDescent="0.2">
      <c r="A12" s="200"/>
      <c r="B12" s="200"/>
      <c r="C12" s="200"/>
      <c r="D12" s="200"/>
      <c r="E12" s="200"/>
      <c r="F12" s="200"/>
      <c r="G12" s="200"/>
      <c r="H12" s="200"/>
      <c r="I12" s="200"/>
    </row>
    <row r="14" spans="1:9" x14ac:dyDescent="0.2">
      <c r="A14" s="202" t="s">
        <v>389</v>
      </c>
      <c r="B14" s="202"/>
      <c r="C14" s="202"/>
      <c r="D14" s="202"/>
      <c r="E14" s="202"/>
      <c r="F14" s="202"/>
      <c r="G14" s="202"/>
      <c r="H14" s="202"/>
      <c r="I14" s="202"/>
    </row>
    <row r="15" spans="1:9" ht="16" customHeight="1" x14ac:dyDescent="0.2">
      <c r="A15" s="201" t="s">
        <v>388</v>
      </c>
      <c r="B15" s="201"/>
      <c r="C15" s="201"/>
      <c r="D15" s="201"/>
      <c r="E15" s="201"/>
      <c r="F15" s="201"/>
      <c r="G15" s="201"/>
      <c r="H15" s="201"/>
      <c r="I15" s="201"/>
    </row>
    <row r="16" spans="1:9" x14ac:dyDescent="0.2">
      <c r="A16" s="201"/>
      <c r="B16" s="201"/>
      <c r="C16" s="201"/>
      <c r="D16" s="201"/>
      <c r="E16" s="201"/>
      <c r="F16" s="201"/>
      <c r="G16" s="201"/>
      <c r="H16" s="201"/>
      <c r="I16" s="201"/>
    </row>
    <row r="17" spans="1:9" x14ac:dyDescent="0.2">
      <c r="A17" s="201"/>
      <c r="B17" s="201"/>
      <c r="C17" s="201"/>
      <c r="D17" s="201"/>
      <c r="E17" s="201"/>
      <c r="F17" s="201"/>
      <c r="G17" s="201"/>
      <c r="H17" s="201"/>
      <c r="I17" s="201"/>
    </row>
    <row r="18" spans="1:9" ht="17" thickBot="1" x14ac:dyDescent="0.25"/>
    <row r="19" spans="1:9" ht="33" customHeight="1" thickBot="1" x14ac:dyDescent="0.25">
      <c r="A19" s="158">
        <v>1</v>
      </c>
      <c r="B19" s="205" t="s">
        <v>381</v>
      </c>
      <c r="C19" s="205"/>
      <c r="D19" s="205"/>
      <c r="E19" s="205"/>
      <c r="F19" s="205"/>
      <c r="G19" s="205"/>
      <c r="H19" s="206"/>
      <c r="I19" s="159">
        <f>'02-FSSM A'!C12</f>
        <v>56068</v>
      </c>
    </row>
    <row r="20" spans="1:9" ht="17" thickBot="1" x14ac:dyDescent="0.25">
      <c r="B20" s="205" t="s">
        <v>425</v>
      </c>
      <c r="C20" s="205"/>
      <c r="D20" s="205"/>
      <c r="E20" s="205"/>
      <c r="F20" s="205"/>
      <c r="G20" s="205"/>
      <c r="H20" s="206"/>
      <c r="I20" s="159">
        <f>I19*1.02^5</f>
        <v>61903.602473817598</v>
      </c>
    </row>
    <row r="21" spans="1:9" ht="32" customHeight="1" thickBot="1" x14ac:dyDescent="0.25">
      <c r="A21" s="158">
        <v>2</v>
      </c>
      <c r="B21" s="205" t="s">
        <v>391</v>
      </c>
      <c r="C21" s="205"/>
      <c r="D21" s="205"/>
      <c r="E21" s="205"/>
      <c r="F21" s="205"/>
      <c r="G21" s="205"/>
      <c r="H21" s="206"/>
      <c r="I21" s="138">
        <v>6</v>
      </c>
    </row>
    <row r="22" spans="1:9" ht="32" customHeight="1" thickBot="1" x14ac:dyDescent="0.25">
      <c r="A22" s="158">
        <v>3</v>
      </c>
      <c r="B22" s="205" t="s">
        <v>382</v>
      </c>
      <c r="C22" s="205"/>
      <c r="D22" s="205"/>
      <c r="E22" s="205"/>
      <c r="F22" s="205"/>
      <c r="G22" s="205"/>
      <c r="H22" s="206"/>
      <c r="I22" s="138">
        <v>0</v>
      </c>
    </row>
    <row r="23" spans="1:9" ht="35" customHeight="1" thickBot="1" x14ac:dyDescent="0.25">
      <c r="A23" s="158">
        <v>4</v>
      </c>
      <c r="B23" s="205" t="s">
        <v>383</v>
      </c>
      <c r="C23" s="205"/>
      <c r="D23" s="205"/>
      <c r="E23" s="205"/>
      <c r="F23" s="205"/>
      <c r="G23" s="205"/>
      <c r="H23" s="206"/>
      <c r="I23" s="138">
        <v>2</v>
      </c>
    </row>
    <row r="25" spans="1:9" x14ac:dyDescent="0.2">
      <c r="A25" s="202" t="s">
        <v>392</v>
      </c>
      <c r="B25" s="202"/>
      <c r="C25" s="202"/>
      <c r="D25" s="202"/>
      <c r="E25" s="202"/>
      <c r="F25" s="202"/>
      <c r="G25" s="202"/>
      <c r="H25" s="202"/>
    </row>
    <row r="26" spans="1:9" ht="16" customHeight="1" x14ac:dyDescent="0.2">
      <c r="A26" s="201" t="s">
        <v>393</v>
      </c>
      <c r="B26" s="201"/>
      <c r="C26" s="201"/>
      <c r="D26" s="201"/>
      <c r="E26" s="201"/>
      <c r="F26" s="201"/>
      <c r="G26" s="201"/>
      <c r="H26" s="201"/>
      <c r="I26" s="201"/>
    </row>
    <row r="27" spans="1:9" ht="17" thickBot="1" x14ac:dyDescent="0.25">
      <c r="A27" s="201"/>
      <c r="B27" s="201"/>
      <c r="C27" s="201"/>
      <c r="D27" s="201"/>
      <c r="E27" s="201"/>
      <c r="F27" s="201"/>
      <c r="G27" s="201"/>
      <c r="H27" s="201"/>
      <c r="I27" s="201"/>
    </row>
    <row r="28" spans="1:9" ht="35" customHeight="1" thickBot="1" x14ac:dyDescent="0.25">
      <c r="A28" s="158">
        <v>1</v>
      </c>
      <c r="B28" s="205" t="s">
        <v>394</v>
      </c>
      <c r="C28" s="205"/>
      <c r="D28" s="205"/>
      <c r="E28" s="205"/>
      <c r="F28" s="205"/>
      <c r="G28" s="205"/>
      <c r="H28" s="206"/>
      <c r="I28" s="138">
        <v>3</v>
      </c>
    </row>
    <row r="29" spans="1:9" ht="35" customHeight="1" thickBot="1" x14ac:dyDescent="0.25">
      <c r="A29" s="158">
        <v>2</v>
      </c>
      <c r="B29" s="205" t="s">
        <v>395</v>
      </c>
      <c r="C29" s="205"/>
      <c r="D29" s="205"/>
      <c r="E29" s="205"/>
      <c r="F29" s="205"/>
      <c r="G29" s="205"/>
      <c r="H29" s="206"/>
      <c r="I29" s="138">
        <v>30</v>
      </c>
    </row>
    <row r="30" spans="1:9" ht="35" customHeight="1" thickBot="1" x14ac:dyDescent="0.25">
      <c r="A30" s="158">
        <v>3</v>
      </c>
      <c r="B30" s="205" t="s">
        <v>384</v>
      </c>
      <c r="C30" s="205"/>
      <c r="D30" s="205"/>
      <c r="E30" s="205"/>
      <c r="F30" s="205"/>
      <c r="G30" s="205"/>
      <c r="H30" s="206"/>
      <c r="I30" s="138">
        <v>300</v>
      </c>
    </row>
    <row r="32" spans="1:9" x14ac:dyDescent="0.2">
      <c r="A32" s="202" t="s">
        <v>396</v>
      </c>
      <c r="B32" s="202"/>
      <c r="C32" s="202"/>
      <c r="D32" s="202"/>
      <c r="E32" s="202"/>
      <c r="F32" s="202"/>
      <c r="G32" s="202"/>
      <c r="H32" s="202"/>
      <c r="I32" s="202"/>
    </row>
    <row r="33" spans="1:16" ht="16" customHeight="1" thickBot="1" x14ac:dyDescent="0.25">
      <c r="A33" s="201" t="s">
        <v>397</v>
      </c>
      <c r="B33" s="201"/>
      <c r="C33" s="201"/>
      <c r="D33" s="201"/>
      <c r="E33" s="201"/>
      <c r="F33" s="201"/>
      <c r="G33" s="201"/>
      <c r="H33" s="201"/>
      <c r="I33" s="201"/>
    </row>
    <row r="34" spans="1:16" ht="17" thickBot="1" x14ac:dyDescent="0.25">
      <c r="A34" s="158">
        <v>1</v>
      </c>
      <c r="B34" s="205" t="s">
        <v>385</v>
      </c>
      <c r="C34" s="205"/>
      <c r="D34" s="205"/>
      <c r="E34" s="205"/>
      <c r="F34" s="205"/>
      <c r="G34" s="205"/>
      <c r="H34" s="206"/>
      <c r="I34" s="159">
        <f>'03-FSSM B'!C7</f>
        <v>17</v>
      </c>
    </row>
    <row r="35" spans="1:16" x14ac:dyDescent="0.2">
      <c r="B35" s="160"/>
      <c r="C35" s="160"/>
      <c r="D35" s="160"/>
      <c r="E35" s="160"/>
      <c r="F35" s="160"/>
      <c r="G35" s="160"/>
      <c r="H35" s="161"/>
      <c r="I35" s="5"/>
    </row>
    <row r="36" spans="1:16" x14ac:dyDescent="0.2">
      <c r="B36" s="160"/>
      <c r="C36" s="160"/>
      <c r="D36" s="160"/>
      <c r="E36" s="160"/>
      <c r="F36" s="160"/>
      <c r="G36" s="160"/>
      <c r="H36" s="161"/>
      <c r="I36" s="5"/>
    </row>
    <row r="37" spans="1:16" x14ac:dyDescent="0.2">
      <c r="B37" s="160"/>
      <c r="C37" s="160"/>
      <c r="D37" s="160"/>
      <c r="E37" s="160"/>
      <c r="F37" s="160"/>
      <c r="G37" s="160"/>
      <c r="H37" s="161"/>
      <c r="I37" s="5"/>
    </row>
    <row r="39" spans="1:16" ht="18" customHeight="1" x14ac:dyDescent="0.2">
      <c r="A39" s="207" t="s">
        <v>387</v>
      </c>
      <c r="B39" s="207"/>
      <c r="C39" s="207"/>
      <c r="D39" s="207"/>
      <c r="E39" s="207"/>
      <c r="F39" s="207"/>
      <c r="G39" s="207"/>
      <c r="H39" s="162" t="str">
        <f>A2</f>
        <v>Aizwal</v>
      </c>
      <c r="I39" s="162" t="s">
        <v>400</v>
      </c>
    </row>
    <row r="40" spans="1:16" ht="16" customHeight="1" x14ac:dyDescent="0.2"/>
    <row r="41" spans="1:16" ht="16" customHeight="1" x14ac:dyDescent="0.2">
      <c r="A41" s="202" t="s">
        <v>401</v>
      </c>
      <c r="B41" s="202"/>
      <c r="C41" s="202"/>
      <c r="D41" s="202"/>
      <c r="E41" s="202"/>
      <c r="F41" s="202"/>
      <c r="G41" s="202"/>
      <c r="H41" s="202"/>
      <c r="I41" s="202"/>
    </row>
    <row r="42" spans="1:16" ht="16" customHeight="1" thickBot="1" x14ac:dyDescent="0.25">
      <c r="A42" s="201" t="s">
        <v>386</v>
      </c>
      <c r="B42" s="201"/>
      <c r="C42" s="201"/>
      <c r="D42" s="201"/>
      <c r="E42" s="201"/>
      <c r="F42" s="201"/>
      <c r="G42" s="201"/>
      <c r="H42" s="201"/>
      <c r="I42" s="201"/>
    </row>
    <row r="43" spans="1:16" ht="37" customHeight="1" thickBot="1" x14ac:dyDescent="0.25">
      <c r="A43" s="158">
        <v>1</v>
      </c>
      <c r="B43" s="205" t="s">
        <v>402</v>
      </c>
      <c r="C43" s="205"/>
      <c r="D43" s="205"/>
      <c r="E43" s="205"/>
      <c r="F43" s="205"/>
      <c r="G43" s="205"/>
      <c r="H43" s="206"/>
      <c r="I43" s="138">
        <v>70</v>
      </c>
    </row>
    <row r="44" spans="1:16" ht="37" customHeight="1" thickBot="1" x14ac:dyDescent="0.25">
      <c r="A44" s="158">
        <v>2</v>
      </c>
      <c r="B44" s="205" t="s">
        <v>403</v>
      </c>
      <c r="C44" s="205"/>
      <c r="D44" s="205"/>
      <c r="E44" s="205"/>
      <c r="F44" s="205"/>
      <c r="G44" s="205"/>
      <c r="H44" s="206"/>
      <c r="I44" s="138">
        <v>0</v>
      </c>
    </row>
    <row r="45" spans="1:16" ht="37" customHeight="1" thickBot="1" x14ac:dyDescent="0.25">
      <c r="A45" s="158">
        <v>3</v>
      </c>
      <c r="B45" s="205" t="s">
        <v>404</v>
      </c>
      <c r="C45" s="205"/>
      <c r="D45" s="205"/>
      <c r="E45" s="205"/>
      <c r="F45" s="205"/>
      <c r="G45" s="205"/>
      <c r="H45" s="206"/>
      <c r="I45" s="138">
        <f>I19</f>
        <v>56068</v>
      </c>
    </row>
    <row r="46" spans="1:16" ht="37" customHeight="1" thickBot="1" x14ac:dyDescent="0.25">
      <c r="A46" s="158">
        <v>4</v>
      </c>
      <c r="B46" s="200" t="s">
        <v>406</v>
      </c>
      <c r="C46" s="200"/>
      <c r="D46" s="200"/>
      <c r="E46" s="200"/>
      <c r="F46" s="200"/>
      <c r="G46" s="163" t="s">
        <v>181</v>
      </c>
      <c r="H46" s="163" t="s">
        <v>411</v>
      </c>
      <c r="I46" s="163" t="s">
        <v>412</v>
      </c>
      <c r="L46" s="5"/>
      <c r="M46" s="5"/>
      <c r="N46" s="5"/>
      <c r="O46" s="5"/>
      <c r="P46" s="5"/>
    </row>
    <row r="47" spans="1:16" s="163" customFormat="1" ht="34" customHeight="1" thickBot="1" x14ac:dyDescent="0.25">
      <c r="A47" s="164" t="s">
        <v>4</v>
      </c>
      <c r="B47" s="195" t="s">
        <v>407</v>
      </c>
      <c r="C47" s="195"/>
      <c r="D47" s="195"/>
      <c r="E47" s="195"/>
      <c r="F47" s="196"/>
      <c r="G47" s="139">
        <f>IF('01-OPTIONS'!A4="A. Cost only for Septage Management","NA",'04-LWM'!C14)</f>
        <v>500</v>
      </c>
      <c r="H47" s="139">
        <f>IF('01-OPTIONS'!A4="A. Cost only for Septage Management","NA",'04-LWM'!C15)</f>
        <v>0</v>
      </c>
      <c r="I47" s="139">
        <f>IF('01-OPTIONS'!A4="A. Cost only for Septage Management","NA",'04-LWM'!C16)</f>
        <v>0</v>
      </c>
      <c r="L47" s="165"/>
      <c r="M47" s="165"/>
      <c r="N47" s="165"/>
      <c r="O47" s="165"/>
      <c r="P47" s="165"/>
    </row>
    <row r="48" spans="1:16" ht="16" customHeight="1" thickBot="1" x14ac:dyDescent="0.25">
      <c r="A48" s="164" t="s">
        <v>5</v>
      </c>
      <c r="B48" s="195" t="s">
        <v>408</v>
      </c>
      <c r="C48" s="195"/>
      <c r="D48" s="195"/>
      <c r="E48" s="195"/>
      <c r="F48" s="196"/>
      <c r="G48" s="139">
        <f>IF('01-OPTIONS'!A4="A. Cost only for Septage Management","NA",'04-LWM'!D14)</f>
        <v>500</v>
      </c>
      <c r="H48" s="139">
        <f>IF('01-OPTIONS'!A4="A. Cost only for Septage Management","NA",'04-LWM'!D15)</f>
        <v>0</v>
      </c>
      <c r="I48" s="139">
        <f>IF('01-OPTIONS'!A4="A. Cost only for Septage Management","NA",'04-LWM'!D16)</f>
        <v>0</v>
      </c>
      <c r="L48" s="5"/>
      <c r="M48" s="5"/>
      <c r="N48" s="5"/>
      <c r="O48" s="5"/>
      <c r="P48" s="5"/>
    </row>
    <row r="49" spans="1:16" ht="16" customHeight="1" thickBot="1" x14ac:dyDescent="0.25">
      <c r="A49" s="164" t="s">
        <v>6</v>
      </c>
      <c r="B49" s="195" t="s">
        <v>409</v>
      </c>
      <c r="C49" s="195"/>
      <c r="D49" s="195"/>
      <c r="E49" s="195"/>
      <c r="F49" s="196"/>
      <c r="G49" s="139">
        <f>IF('01-OPTIONS'!A4="A. Cost only for Septage Management","NA",'04-LWM'!E14)</f>
        <v>500</v>
      </c>
      <c r="H49" s="139">
        <f>IF('01-OPTIONS'!A4="A. Cost only for Septage Management","NA",'04-LWM'!E15)</f>
        <v>0</v>
      </c>
      <c r="I49" s="139">
        <f>IF('01-OPTIONS'!A4="A. Cost only for Septage Management","NA",'04-LWM'!E16)</f>
        <v>0</v>
      </c>
      <c r="L49" s="5"/>
      <c r="M49" s="5"/>
      <c r="N49" s="5"/>
      <c r="O49" s="5"/>
      <c r="P49" s="5"/>
    </row>
    <row r="50" spans="1:16" ht="16" customHeight="1" thickBot="1" x14ac:dyDescent="0.25">
      <c r="A50" s="164" t="s">
        <v>29</v>
      </c>
      <c r="B50" s="195" t="s">
        <v>410</v>
      </c>
      <c r="C50" s="195"/>
      <c r="D50" s="195"/>
      <c r="E50" s="195"/>
      <c r="F50" s="196"/>
      <c r="G50" s="139">
        <f>IF('01-OPTIONS'!A4="A. Cost only for Septage Management","NA",'04-LWM'!F14)</f>
        <v>500</v>
      </c>
      <c r="H50" s="139">
        <f>IF('01-OPTIONS'!A4="A. Cost only for Septage Management","NA",'04-LWM'!F15)</f>
        <v>0</v>
      </c>
      <c r="I50" s="139">
        <f>IF('01-OPTIONS'!A4="A. Cost only for Septage Management","NA",'04-LWM'!F16)</f>
        <v>0</v>
      </c>
      <c r="L50" s="5"/>
      <c r="M50" s="5"/>
      <c r="N50" s="5"/>
      <c r="O50" s="5"/>
      <c r="P50" s="5"/>
    </row>
    <row r="51" spans="1:16" ht="16" customHeight="1" thickBot="1" x14ac:dyDescent="0.25">
      <c r="A51" s="166" t="s">
        <v>7</v>
      </c>
      <c r="B51" s="203" t="s">
        <v>413</v>
      </c>
      <c r="C51" s="203"/>
      <c r="D51" s="203"/>
      <c r="E51" s="203"/>
      <c r="F51" s="204"/>
      <c r="G51" s="140">
        <f>SUMIF(G47:G50,NOT("NA"),G47:G50)</f>
        <v>0</v>
      </c>
      <c r="H51" s="140">
        <f t="shared" ref="H51:I51" si="0">SUMIF(H47:H50,NOT("NA"),H47:H50)</f>
        <v>0</v>
      </c>
      <c r="I51" s="140">
        <f t="shared" si="0"/>
        <v>0</v>
      </c>
    </row>
    <row r="52" spans="1:16" ht="16" customHeight="1" x14ac:dyDescent="0.2"/>
    <row r="53" spans="1:16" ht="16" customHeight="1" x14ac:dyDescent="0.2"/>
    <row r="54" spans="1:16" ht="16" customHeight="1" x14ac:dyDescent="0.2">
      <c r="A54" s="202" t="s">
        <v>414</v>
      </c>
      <c r="B54" s="202"/>
      <c r="C54" s="202"/>
      <c r="D54" s="202"/>
      <c r="E54" s="202"/>
      <c r="F54" s="202"/>
      <c r="G54" s="202"/>
      <c r="H54" s="202"/>
      <c r="I54" s="202"/>
    </row>
    <row r="55" spans="1:16" ht="34" customHeight="1" x14ac:dyDescent="0.2">
      <c r="A55" s="201" t="s">
        <v>420</v>
      </c>
      <c r="B55" s="201"/>
      <c r="C55" s="201"/>
      <c r="D55" s="201"/>
      <c r="E55" s="201"/>
      <c r="F55" s="201"/>
      <c r="G55" s="201"/>
      <c r="H55" s="201"/>
      <c r="I55" s="201"/>
    </row>
    <row r="56" spans="1:16" x14ac:dyDescent="0.2">
      <c r="A56" s="167"/>
      <c r="B56" s="167"/>
      <c r="C56" s="167"/>
      <c r="D56" s="167"/>
      <c r="E56" s="167"/>
      <c r="F56" s="167"/>
      <c r="G56" s="167"/>
      <c r="H56" s="167"/>
      <c r="I56" s="168" t="s">
        <v>154</v>
      </c>
    </row>
    <row r="57" spans="1:16" s="170" customFormat="1" ht="34" customHeight="1" x14ac:dyDescent="0.2">
      <c r="A57" s="169" t="s">
        <v>415</v>
      </c>
      <c r="B57" s="199" t="s">
        <v>157</v>
      </c>
      <c r="C57" s="199"/>
      <c r="D57" s="199"/>
      <c r="E57" s="199"/>
      <c r="F57" s="199"/>
      <c r="G57" s="169" t="s">
        <v>158</v>
      </c>
      <c r="H57" s="169" t="s">
        <v>159</v>
      </c>
      <c r="I57" s="169" t="s">
        <v>34</v>
      </c>
    </row>
    <row r="58" spans="1:16" ht="34" customHeight="1" x14ac:dyDescent="0.2">
      <c r="A58" s="171">
        <v>1</v>
      </c>
      <c r="B58" s="197" t="s">
        <v>160</v>
      </c>
      <c r="C58" s="197"/>
      <c r="D58" s="197"/>
      <c r="E58" s="197"/>
      <c r="F58" s="197"/>
      <c r="G58" s="173">
        <f>'CONSOLIDATED COST SUMMARIES'!C6</f>
        <v>5210.5082818053897</v>
      </c>
      <c r="H58" s="173">
        <f>'CONSOLIDATED COST SUMMARIES'!D6</f>
        <v>4725.6851039520243</v>
      </c>
      <c r="I58" s="173">
        <f>'CONSOLIDATED COST SUMMARIES'!E6</f>
        <v>9936.1933857574149</v>
      </c>
    </row>
    <row r="59" spans="1:16" ht="34" customHeight="1" x14ac:dyDescent="0.2">
      <c r="A59" s="171">
        <v>2</v>
      </c>
      <c r="B59" s="197" t="s">
        <v>161</v>
      </c>
      <c r="C59" s="197"/>
      <c r="D59" s="197"/>
      <c r="E59" s="197"/>
      <c r="F59" s="197"/>
      <c r="G59" s="173">
        <f>'CONSOLIDATED COST SUMMARIES'!C7</f>
        <v>13000.388340150001</v>
      </c>
      <c r="H59" s="173">
        <f>'CONSOLIDATED COST SUMMARIES'!D7</f>
        <v>0</v>
      </c>
      <c r="I59" s="173">
        <f>'CONSOLIDATED COST SUMMARIES'!E7</f>
        <v>13000.388340150001</v>
      </c>
    </row>
    <row r="60" spans="1:16" ht="34" customHeight="1" x14ac:dyDescent="0.2">
      <c r="A60" s="172">
        <v>3</v>
      </c>
      <c r="B60" s="198" t="s">
        <v>416</v>
      </c>
      <c r="C60" s="198"/>
      <c r="D60" s="198"/>
      <c r="E60" s="198"/>
      <c r="F60" s="198"/>
      <c r="G60" s="174">
        <f>'CONSOLIDATED COST SUMMARIES'!C8</f>
        <v>18210.896621955391</v>
      </c>
      <c r="H60" s="174">
        <f>'CONSOLIDATED COST SUMMARIES'!D8</f>
        <v>4725.6851039520243</v>
      </c>
      <c r="I60" s="174">
        <f>'CONSOLIDATED COST SUMMARIES'!E8</f>
        <v>22936.581725907417</v>
      </c>
    </row>
    <row r="62" spans="1:16" x14ac:dyDescent="0.2">
      <c r="A62" s="200" t="s">
        <v>418</v>
      </c>
      <c r="B62" s="200"/>
      <c r="C62" s="200"/>
      <c r="D62" s="200"/>
      <c r="E62" s="200"/>
      <c r="F62" s="200"/>
      <c r="G62" s="200"/>
      <c r="H62" s="200"/>
      <c r="I62" s="200"/>
    </row>
    <row r="63" spans="1:16" x14ac:dyDescent="0.2">
      <c r="A63" s="195" t="s">
        <v>419</v>
      </c>
      <c r="B63" s="195"/>
      <c r="C63" s="195"/>
      <c r="D63" s="195"/>
      <c r="E63" s="195"/>
      <c r="F63" s="195"/>
      <c r="G63" s="195" t="str">
        <f>A2</f>
        <v>Aizwal</v>
      </c>
      <c r="H63" s="195"/>
    </row>
    <row r="64" spans="1:16" x14ac:dyDescent="0.2">
      <c r="A64" s="158" t="s">
        <v>417</v>
      </c>
    </row>
    <row r="67" spans="2:2" x14ac:dyDescent="0.2">
      <c r="B67" s="170" t="s">
        <v>423</v>
      </c>
    </row>
  </sheetData>
  <sheetProtection selectLockedCells="1"/>
  <dataConsolidate/>
  <mergeCells count="40">
    <mergeCell ref="A1:I1"/>
    <mergeCell ref="A2:I2"/>
    <mergeCell ref="A5:I12"/>
    <mergeCell ref="A26:I27"/>
    <mergeCell ref="A33:I33"/>
    <mergeCell ref="A32:I32"/>
    <mergeCell ref="A25:H25"/>
    <mergeCell ref="B23:H23"/>
    <mergeCell ref="B20:H20"/>
    <mergeCell ref="A15:I17"/>
    <mergeCell ref="B19:H19"/>
    <mergeCell ref="B21:H21"/>
    <mergeCell ref="B22:H22"/>
    <mergeCell ref="A4:I4"/>
    <mergeCell ref="A14:I14"/>
    <mergeCell ref="B46:F46"/>
    <mergeCell ref="B45:H45"/>
    <mergeCell ref="B28:H28"/>
    <mergeCell ref="B29:H29"/>
    <mergeCell ref="B30:H30"/>
    <mergeCell ref="B34:H34"/>
    <mergeCell ref="A41:I41"/>
    <mergeCell ref="A42:I42"/>
    <mergeCell ref="B43:H43"/>
    <mergeCell ref="B44:H44"/>
    <mergeCell ref="A39:G39"/>
    <mergeCell ref="A63:F63"/>
    <mergeCell ref="G63:H63"/>
    <mergeCell ref="B47:F47"/>
    <mergeCell ref="B58:F58"/>
    <mergeCell ref="B59:F59"/>
    <mergeCell ref="B60:F60"/>
    <mergeCell ref="B57:F57"/>
    <mergeCell ref="A62:I62"/>
    <mergeCell ref="A55:I55"/>
    <mergeCell ref="B48:F48"/>
    <mergeCell ref="B49:F49"/>
    <mergeCell ref="A54:I54"/>
    <mergeCell ref="B50:F50"/>
    <mergeCell ref="B51:F51"/>
  </mergeCells>
  <phoneticPr fontId="29" type="noConversion"/>
  <pageMargins left="0.25" right="0.25" top="0.75" bottom="0.75" header="0.3" footer="0.3"/>
  <pageSetup paperSize="9" scale="91" orientation="portrait" horizontalDpi="0" verticalDpi="0"/>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'Database sheet'!$C$6:$C$123</xm:f>
          </x14:formula1>
          <xm:sqref>A2</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G11"/>
  <sheetViews>
    <sheetView workbookViewId="0">
      <selection activeCell="A12" sqref="A12"/>
    </sheetView>
  </sheetViews>
  <sheetFormatPr baseColWidth="10" defaultColWidth="10.83203125" defaultRowHeight="16" x14ac:dyDescent="0.2"/>
  <cols>
    <col min="1" max="16384" width="10.83203125" style="56"/>
  </cols>
  <sheetData>
    <row r="2" spans="1:7" x14ac:dyDescent="0.2">
      <c r="G2" s="56" t="s">
        <v>152</v>
      </c>
    </row>
    <row r="3" spans="1:7" x14ac:dyDescent="0.2">
      <c r="A3" s="56" t="s">
        <v>150</v>
      </c>
    </row>
    <row r="4" spans="1:7" x14ac:dyDescent="0.2">
      <c r="A4" s="56" t="s">
        <v>153</v>
      </c>
    </row>
    <row r="5" spans="1:7" x14ac:dyDescent="0.2">
      <c r="A5" s="56" t="s">
        <v>152</v>
      </c>
    </row>
    <row r="6" spans="1:7" x14ac:dyDescent="0.2">
      <c r="G6" s="56" t="str">
        <f>IF(G2="A. Cost only for Septage Management","SEPTAGE ONLY",IF(G2="B. Cost only for Liquid Waste Management","LIQUID ONLY",IF(G2="C. Cost for both Septage and Liquid Waste Management","BOTH","NONE")))</f>
        <v>BOTH</v>
      </c>
    </row>
    <row r="10" spans="1:7" x14ac:dyDescent="0.2">
      <c r="A10" s="175" t="s">
        <v>426</v>
      </c>
    </row>
    <row r="11" spans="1:7" x14ac:dyDescent="0.2">
      <c r="A11" s="175" t="s">
        <v>427</v>
      </c>
    </row>
  </sheetData>
  <sheetProtection password="DCCD" sheet="1" objects="1" scenarios="1" selectLockedCells="1"/>
  <dataValidations count="1">
    <dataValidation type="list" allowBlank="1" showInputMessage="1" showErrorMessage="1" sqref="G2">
      <formula1>$A$3:$A$5</formula1>
    </dataValidation>
  </dataValidation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zoomScale="97" zoomScaleNormal="97" zoomScalePageLayoutView="97" workbookViewId="0">
      <selection activeCell="D30" sqref="D30"/>
    </sheetView>
  </sheetViews>
  <sheetFormatPr baseColWidth="10" defaultColWidth="8.83203125" defaultRowHeight="15" x14ac:dyDescent="0.2"/>
  <cols>
    <col min="1" max="1" width="7.1640625" style="142" bestFit="1" customWidth="1"/>
    <col min="2" max="2" width="62.1640625" style="143" customWidth="1"/>
    <col min="3" max="3" width="27.5" style="142" customWidth="1"/>
    <col min="4" max="4" width="11.33203125" style="141" customWidth="1"/>
    <col min="5" max="5" width="59.5" style="141" customWidth="1"/>
    <col min="6" max="6" width="32.6640625" style="141" customWidth="1"/>
    <col min="7" max="16384" width="8.83203125" style="142"/>
  </cols>
  <sheetData>
    <row r="1" spans="1:6" ht="19" customHeight="1" x14ac:dyDescent="0.2">
      <c r="A1" s="211" t="s">
        <v>148</v>
      </c>
      <c r="B1" s="211"/>
      <c r="C1" s="211"/>
    </row>
    <row r="2" spans="1:6" ht="19" x14ac:dyDescent="0.2">
      <c r="A2" s="177" t="s">
        <v>1</v>
      </c>
      <c r="B2" s="177" t="s">
        <v>2</v>
      </c>
      <c r="C2" s="177" t="s">
        <v>22</v>
      </c>
    </row>
    <row r="3" spans="1:6" ht="21" x14ac:dyDescent="0.2">
      <c r="A3" s="178"/>
      <c r="B3" s="212" t="s">
        <v>3</v>
      </c>
      <c r="C3" s="212"/>
    </row>
    <row r="4" spans="1:6" x14ac:dyDescent="0.2">
      <c r="A4" s="20">
        <v>1</v>
      </c>
      <c r="B4" s="21" t="s">
        <v>41</v>
      </c>
      <c r="C4" s="136" t="str">
        <f>RFE!A2</f>
        <v>Aizwal</v>
      </c>
      <c r="D4" s="6" t="s">
        <v>47</v>
      </c>
      <c r="E4" s="213" t="s">
        <v>52</v>
      </c>
      <c r="F4" s="213"/>
    </row>
    <row r="5" spans="1:6" x14ac:dyDescent="0.2">
      <c r="A5" s="20">
        <v>2</v>
      </c>
      <c r="B5" s="21" t="s">
        <v>204</v>
      </c>
      <c r="C5" s="136">
        <f>VLOOKUP($C$4,'Database sheet'!$C$6:$T$123,4,0)</f>
        <v>291000</v>
      </c>
      <c r="D5" s="6"/>
      <c r="E5" s="182"/>
      <c r="F5" s="182"/>
    </row>
    <row r="6" spans="1:6" x14ac:dyDescent="0.2">
      <c r="A6" s="20">
        <v>3</v>
      </c>
      <c r="B6" s="21" t="s">
        <v>378</v>
      </c>
      <c r="C6" s="136">
        <f>VLOOKUP($C$4,'Database sheet'!$C$6:$T$123,5,0)</f>
        <v>60165</v>
      </c>
      <c r="D6" s="6"/>
      <c r="E6" s="182"/>
      <c r="F6" s="182"/>
    </row>
    <row r="7" spans="1:6" ht="30" x14ac:dyDescent="0.2">
      <c r="A7" s="20">
        <v>4</v>
      </c>
      <c r="B7" s="21" t="s">
        <v>0</v>
      </c>
      <c r="C7" s="136">
        <f>VLOOKUP($C$4,'Database sheet'!$C$6:$T$123,8,0)</f>
        <v>50863</v>
      </c>
      <c r="D7" s="183" t="s">
        <v>118</v>
      </c>
      <c r="E7" s="183" t="s">
        <v>100</v>
      </c>
      <c r="F7" s="183" t="s">
        <v>99</v>
      </c>
    </row>
    <row r="8" spans="1:6" ht="28" customHeight="1" x14ac:dyDescent="0.2">
      <c r="A8" s="20">
        <v>5</v>
      </c>
      <c r="B8" s="21" t="s">
        <v>102</v>
      </c>
      <c r="C8" s="136">
        <f>VLOOKUP($C$4,'Database sheet'!$C$6:$T$123,15,0)</f>
        <v>5019</v>
      </c>
      <c r="D8" s="183" t="s">
        <v>118</v>
      </c>
      <c r="E8" s="183" t="s">
        <v>101</v>
      </c>
      <c r="F8" s="183" t="s">
        <v>99</v>
      </c>
    </row>
    <row r="9" spans="1:6" ht="28" customHeight="1" x14ac:dyDescent="0.2">
      <c r="A9" s="20">
        <v>6</v>
      </c>
      <c r="B9" s="21" t="s">
        <v>17</v>
      </c>
      <c r="C9" s="136">
        <f>VLOOKUP($C$4,'Database sheet'!$C$6:$T$123,18,0)</f>
        <v>186</v>
      </c>
      <c r="D9" s="183" t="s">
        <v>118</v>
      </c>
      <c r="E9" s="183" t="s">
        <v>103</v>
      </c>
      <c r="F9" s="183" t="s">
        <v>99</v>
      </c>
    </row>
    <row r="10" spans="1:6" ht="30" x14ac:dyDescent="0.2">
      <c r="A10" s="20">
        <v>7</v>
      </c>
      <c r="B10" s="21" t="s">
        <v>19</v>
      </c>
      <c r="C10" s="136">
        <f>VLOOKUP($C$4,'Database sheet'!$C$6:$T$123,17,0)</f>
        <v>122</v>
      </c>
      <c r="D10" s="183" t="s">
        <v>118</v>
      </c>
      <c r="E10" s="183" t="s">
        <v>104</v>
      </c>
      <c r="F10" s="183" t="s">
        <v>99</v>
      </c>
    </row>
    <row r="11" spans="1:6" x14ac:dyDescent="0.2">
      <c r="A11" s="20">
        <v>8</v>
      </c>
      <c r="B11" s="21" t="s">
        <v>45</v>
      </c>
      <c r="C11" s="136">
        <f>ROUNDUP(C12*($C$5/$C$6),0)</f>
        <v>271185</v>
      </c>
      <c r="D11" s="183" t="s">
        <v>57</v>
      </c>
      <c r="E11" s="210" t="s">
        <v>105</v>
      </c>
      <c r="F11" s="210"/>
    </row>
    <row r="12" spans="1:6" ht="30" x14ac:dyDescent="0.2">
      <c r="A12" s="20">
        <v>9</v>
      </c>
      <c r="B12" s="21" t="s">
        <v>379</v>
      </c>
      <c r="C12" s="136">
        <f>SUM(C7:C9)</f>
        <v>56068</v>
      </c>
      <c r="D12" s="183" t="s">
        <v>118</v>
      </c>
      <c r="E12" s="183" t="s">
        <v>106</v>
      </c>
      <c r="F12" s="183" t="s">
        <v>107</v>
      </c>
    </row>
    <row r="13" spans="1:6" x14ac:dyDescent="0.2">
      <c r="A13" s="20">
        <v>10</v>
      </c>
      <c r="B13" s="21" t="s">
        <v>20</v>
      </c>
      <c r="C13" s="51">
        <v>6</v>
      </c>
      <c r="D13" s="183" t="s">
        <v>57</v>
      </c>
      <c r="E13" s="210" t="s">
        <v>108</v>
      </c>
      <c r="F13" s="210"/>
    </row>
    <row r="14" spans="1:6" x14ac:dyDescent="0.2">
      <c r="A14" s="20">
        <v>11</v>
      </c>
      <c r="B14" s="21" t="s">
        <v>117</v>
      </c>
      <c r="C14" s="51">
        <f>9*6</f>
        <v>54</v>
      </c>
      <c r="D14" s="183" t="s">
        <v>115</v>
      </c>
      <c r="E14" s="210" t="s">
        <v>108</v>
      </c>
      <c r="F14" s="210"/>
    </row>
    <row r="15" spans="1:6" ht="30" x14ac:dyDescent="0.2">
      <c r="A15" s="20">
        <v>12</v>
      </c>
      <c r="B15" s="21" t="s">
        <v>109</v>
      </c>
      <c r="C15" s="52">
        <v>0.1</v>
      </c>
      <c r="D15" s="183" t="s">
        <v>116</v>
      </c>
      <c r="E15" s="210" t="s">
        <v>110</v>
      </c>
      <c r="F15" s="210"/>
    </row>
    <row r="16" spans="1:6" x14ac:dyDescent="0.2">
      <c r="A16" s="20">
        <v>13</v>
      </c>
      <c r="B16" s="21" t="s">
        <v>24</v>
      </c>
      <c r="C16" s="51">
        <v>3</v>
      </c>
      <c r="D16" s="183" t="s">
        <v>112</v>
      </c>
      <c r="E16" s="210" t="s">
        <v>111</v>
      </c>
      <c r="F16" s="210"/>
    </row>
    <row r="17" spans="1:6" x14ac:dyDescent="0.2">
      <c r="A17" s="20">
        <v>14</v>
      </c>
      <c r="B17" s="21" t="s">
        <v>25</v>
      </c>
      <c r="C17" s="51">
        <v>30</v>
      </c>
      <c r="D17" s="183" t="s">
        <v>113</v>
      </c>
      <c r="E17" s="210" t="s">
        <v>114</v>
      </c>
      <c r="F17" s="210"/>
    </row>
    <row r="18" spans="1:6" x14ac:dyDescent="0.2">
      <c r="A18" s="20">
        <v>15</v>
      </c>
      <c r="B18" s="21" t="s">
        <v>18</v>
      </c>
      <c r="C18" s="51">
        <v>300</v>
      </c>
      <c r="D18" s="183" t="s">
        <v>113</v>
      </c>
      <c r="E18" s="210" t="s">
        <v>119</v>
      </c>
      <c r="F18" s="210"/>
    </row>
    <row r="19" spans="1:6" x14ac:dyDescent="0.2">
      <c r="A19" s="20">
        <v>16</v>
      </c>
      <c r="B19" s="21" t="s">
        <v>121</v>
      </c>
      <c r="C19" s="136">
        <v>4</v>
      </c>
      <c r="D19" s="183" t="s">
        <v>57</v>
      </c>
      <c r="E19" s="210" t="s">
        <v>120</v>
      </c>
      <c r="F19" s="210"/>
    </row>
    <row r="20" spans="1:6" x14ac:dyDescent="0.2">
      <c r="A20" s="20">
        <v>17</v>
      </c>
      <c r="B20" s="21" t="s">
        <v>122</v>
      </c>
      <c r="C20" s="136">
        <v>1</v>
      </c>
      <c r="D20" s="183" t="s">
        <v>398</v>
      </c>
      <c r="E20" s="210" t="s">
        <v>399</v>
      </c>
      <c r="F20" s="210"/>
    </row>
    <row r="21" spans="1:6" x14ac:dyDescent="0.2">
      <c r="A21" s="179"/>
      <c r="B21" s="55" t="s">
        <v>13</v>
      </c>
      <c r="C21" s="54"/>
      <c r="D21" s="183"/>
      <c r="E21" s="183"/>
      <c r="F21" s="183"/>
    </row>
    <row r="22" spans="1:6" x14ac:dyDescent="0.2">
      <c r="A22" s="20">
        <v>17</v>
      </c>
      <c r="B22" s="21" t="s">
        <v>14</v>
      </c>
      <c r="C22" s="136">
        <v>1000000</v>
      </c>
      <c r="D22" s="183" t="s">
        <v>123</v>
      </c>
      <c r="E22" s="210" t="s">
        <v>124</v>
      </c>
      <c r="F22" s="210"/>
    </row>
    <row r="23" spans="1:6" x14ac:dyDescent="0.2">
      <c r="A23" s="179"/>
      <c r="B23" s="55" t="s">
        <v>42</v>
      </c>
      <c r="C23" s="54"/>
      <c r="D23" s="183"/>
      <c r="E23" s="183"/>
      <c r="F23" s="183"/>
    </row>
    <row r="24" spans="1:6" x14ac:dyDescent="0.2">
      <c r="A24" s="20">
        <v>18</v>
      </c>
      <c r="B24" s="21" t="s">
        <v>128</v>
      </c>
      <c r="C24" s="51">
        <v>6</v>
      </c>
      <c r="D24" s="183" t="s">
        <v>125</v>
      </c>
      <c r="E24" s="210" t="s">
        <v>126</v>
      </c>
      <c r="F24" s="210"/>
    </row>
    <row r="25" spans="1:6" x14ac:dyDescent="0.2">
      <c r="A25" s="20">
        <v>19</v>
      </c>
      <c r="B25" s="21" t="s">
        <v>129</v>
      </c>
      <c r="C25" s="51">
        <v>2</v>
      </c>
      <c r="D25" s="183" t="s">
        <v>57</v>
      </c>
      <c r="E25" s="210" t="s">
        <v>127</v>
      </c>
      <c r="F25" s="210"/>
    </row>
    <row r="26" spans="1:6" x14ac:dyDescent="0.2">
      <c r="A26" s="179"/>
      <c r="B26" s="55" t="s">
        <v>163</v>
      </c>
      <c r="C26" s="176"/>
      <c r="D26" s="183"/>
      <c r="E26" s="210"/>
      <c r="F26" s="210"/>
    </row>
    <row r="27" spans="1:6" ht="30" x14ac:dyDescent="0.2">
      <c r="A27" s="180">
        <v>20</v>
      </c>
      <c r="B27" s="181" t="s">
        <v>44</v>
      </c>
      <c r="C27" s="137">
        <v>0</v>
      </c>
      <c r="D27" s="183" t="s">
        <v>48</v>
      </c>
      <c r="E27" s="210" t="s">
        <v>130</v>
      </c>
      <c r="F27" s="210"/>
    </row>
    <row r="28" spans="1:6" x14ac:dyDescent="0.2">
      <c r="A28" s="180">
        <v>21</v>
      </c>
      <c r="B28" s="181" t="s">
        <v>164</v>
      </c>
      <c r="C28" s="53">
        <v>2</v>
      </c>
      <c r="D28" s="183" t="s">
        <v>57</v>
      </c>
      <c r="E28" s="184" t="s">
        <v>165</v>
      </c>
      <c r="F28" s="184"/>
    </row>
    <row r="33" spans="4:4" x14ac:dyDescent="0.2">
      <c r="D33" s="142"/>
    </row>
    <row r="34" spans="4:4" x14ac:dyDescent="0.2">
      <c r="D34" s="142"/>
    </row>
    <row r="36" spans="4:4" x14ac:dyDescent="0.2">
      <c r="D36" s="142"/>
    </row>
    <row r="37" spans="4:4" x14ac:dyDescent="0.2">
      <c r="D37" s="144"/>
    </row>
    <row r="38" spans="4:4" x14ac:dyDescent="0.2">
      <c r="D38" s="144"/>
    </row>
  </sheetData>
  <sheetProtection selectLockedCells="1"/>
  <mergeCells count="17">
    <mergeCell ref="E14:F14"/>
    <mergeCell ref="A1:C1"/>
    <mergeCell ref="B3:C3"/>
    <mergeCell ref="E4:F4"/>
    <mergeCell ref="E11:F11"/>
    <mergeCell ref="E13:F13"/>
    <mergeCell ref="E15:F15"/>
    <mergeCell ref="E16:F16"/>
    <mergeCell ref="E17:F17"/>
    <mergeCell ref="E18:F18"/>
    <mergeCell ref="E19:F19"/>
    <mergeCell ref="E27:F27"/>
    <mergeCell ref="E20:F20"/>
    <mergeCell ref="E22:F22"/>
    <mergeCell ref="E24:F24"/>
    <mergeCell ref="E26:F26"/>
    <mergeCell ref="E25:F25"/>
  </mergeCells>
  <phoneticPr fontId="29" type="noConversion"/>
  <pageMargins left="0.25" right="0.25" top="0.75" bottom="0.75" header="0.3" footer="0.3"/>
  <pageSetup paperSize="9" scale="66"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9"/>
  <sheetViews>
    <sheetView showGridLines="0" workbookViewId="0">
      <selection activeCell="C28" sqref="C28"/>
    </sheetView>
  </sheetViews>
  <sheetFormatPr baseColWidth="10" defaultColWidth="8.83203125" defaultRowHeight="15" x14ac:dyDescent="0.2"/>
  <cols>
    <col min="1" max="1" width="8.83203125" style="1"/>
    <col min="2" max="2" width="68.1640625" style="1" customWidth="1"/>
    <col min="3" max="3" width="12.5" style="1" bestFit="1" customWidth="1"/>
    <col min="4" max="7" width="8.83203125" style="1"/>
    <col min="8" max="8" width="9.6640625" style="1" bestFit="1" customWidth="1"/>
    <col min="9" max="16384" width="8.83203125" style="1"/>
  </cols>
  <sheetData>
    <row r="1" spans="1:13" ht="24" customHeight="1" x14ac:dyDescent="0.2">
      <c r="A1" s="215" t="s">
        <v>131</v>
      </c>
      <c r="B1" s="216"/>
      <c r="C1" s="217"/>
      <c r="D1" s="15"/>
      <c r="E1" s="15"/>
      <c r="F1" s="15"/>
      <c r="G1" s="15"/>
      <c r="H1" s="15"/>
      <c r="I1" s="15"/>
      <c r="J1" s="15"/>
      <c r="K1" s="15"/>
      <c r="L1" s="15"/>
      <c r="M1" s="15"/>
    </row>
    <row r="2" spans="1:13" x14ac:dyDescent="0.2">
      <c r="A2" s="16"/>
      <c r="B2" s="17"/>
      <c r="C2" s="16"/>
      <c r="D2" s="15"/>
      <c r="E2" s="15"/>
      <c r="F2" s="15"/>
      <c r="G2" s="15"/>
      <c r="H2" s="15"/>
      <c r="I2" s="15"/>
      <c r="J2" s="15"/>
      <c r="K2" s="15"/>
      <c r="L2" s="15"/>
      <c r="M2" s="15"/>
    </row>
    <row r="3" spans="1:13" x14ac:dyDescent="0.2">
      <c r="A3" s="18" t="s">
        <v>4</v>
      </c>
      <c r="B3" s="19" t="s">
        <v>36</v>
      </c>
      <c r="C3" s="18"/>
      <c r="D3" s="6" t="s">
        <v>47</v>
      </c>
      <c r="E3" s="6" t="s">
        <v>52</v>
      </c>
      <c r="F3" s="15"/>
      <c r="G3" s="15"/>
      <c r="H3" s="15"/>
      <c r="I3" s="15"/>
      <c r="J3" s="15"/>
      <c r="K3" s="15"/>
      <c r="L3" s="15"/>
      <c r="M3" s="15"/>
    </row>
    <row r="4" spans="1:13" x14ac:dyDescent="0.2">
      <c r="A4" s="20">
        <v>1</v>
      </c>
      <c r="B4" s="21" t="s">
        <v>380</v>
      </c>
      <c r="C4" s="22">
        <f>((632.63+798.98)*100000)/90</f>
        <v>1590677.7777777778</v>
      </c>
      <c r="D4" s="15" t="s">
        <v>89</v>
      </c>
      <c r="E4" s="15"/>
      <c r="F4" s="15"/>
      <c r="G4" s="15"/>
      <c r="H4" s="15"/>
      <c r="I4" s="15"/>
      <c r="J4" s="15"/>
      <c r="K4" s="15"/>
      <c r="L4" s="15"/>
      <c r="M4" s="15"/>
    </row>
    <row r="5" spans="1:13" s="3" customFormat="1" x14ac:dyDescent="0.2">
      <c r="A5" s="23" t="s">
        <v>5</v>
      </c>
      <c r="B5" s="24" t="s">
        <v>37</v>
      </c>
      <c r="C5" s="25"/>
      <c r="D5" s="6" t="s">
        <v>47</v>
      </c>
      <c r="E5" s="6" t="s">
        <v>52</v>
      </c>
      <c r="F5" s="6"/>
      <c r="G5" s="6"/>
      <c r="H5" s="6"/>
      <c r="I5" s="6"/>
      <c r="J5" s="6"/>
      <c r="K5" s="6"/>
      <c r="L5" s="6"/>
      <c r="M5" s="6"/>
    </row>
    <row r="6" spans="1:13" x14ac:dyDescent="0.2">
      <c r="A6" s="20">
        <v>1</v>
      </c>
      <c r="B6" s="21" t="s">
        <v>49</v>
      </c>
      <c r="C6" s="26">
        <f>(230*('02-FSSM A'!C11/'02-FSSM A'!C12))/1000</f>
        <v>1.1124447099950059</v>
      </c>
      <c r="D6" s="15" t="s">
        <v>48</v>
      </c>
      <c r="E6" s="15" t="s">
        <v>50</v>
      </c>
      <c r="F6" s="15"/>
      <c r="G6" s="15"/>
      <c r="H6" s="15"/>
      <c r="I6" s="15"/>
      <c r="J6" s="15"/>
      <c r="K6" s="15"/>
      <c r="L6" s="15"/>
      <c r="M6" s="15"/>
    </row>
    <row r="7" spans="1:13" x14ac:dyDescent="0.2">
      <c r="A7" s="20">
        <v>2</v>
      </c>
      <c r="B7" s="21" t="s">
        <v>53</v>
      </c>
      <c r="C7" s="26">
        <f>C6*'02-FSSM A'!C16</f>
        <v>3.3373341299850177</v>
      </c>
      <c r="D7" s="15" t="s">
        <v>48</v>
      </c>
      <c r="E7" s="15" t="s">
        <v>51</v>
      </c>
      <c r="F7" s="15"/>
      <c r="G7" s="15"/>
      <c r="H7" s="15"/>
      <c r="I7" s="15"/>
      <c r="J7" s="15"/>
      <c r="K7" s="15"/>
      <c r="L7" s="15"/>
      <c r="M7" s="15"/>
    </row>
    <row r="8" spans="1:13" x14ac:dyDescent="0.2">
      <c r="A8" s="20">
        <v>3</v>
      </c>
      <c r="B8" s="21" t="s">
        <v>61</v>
      </c>
      <c r="C8" s="26">
        <f>IF('02-FSSM A'!C13/((300/365)*'02-FSSM A'!C17)&lt;0.5,1,ROUND('02-FSSM A'!C13/((300/365)*'02-FSSM A'!C17),0))</f>
        <v>1</v>
      </c>
      <c r="D8" s="15" t="s">
        <v>54</v>
      </c>
      <c r="E8" s="15" t="s">
        <v>187</v>
      </c>
      <c r="F8" s="15"/>
      <c r="G8" s="15"/>
      <c r="H8" s="15"/>
      <c r="I8" s="15"/>
      <c r="J8" s="15"/>
      <c r="K8" s="15"/>
      <c r="L8" s="15"/>
      <c r="M8" s="15"/>
    </row>
    <row r="9" spans="1:13" x14ac:dyDescent="0.2">
      <c r="A9" s="20">
        <v>4</v>
      </c>
      <c r="B9" s="21" t="s">
        <v>186</v>
      </c>
      <c r="C9" s="27">
        <f>C8*'02-FSSM A'!C14</f>
        <v>54</v>
      </c>
      <c r="D9" s="15" t="s">
        <v>48</v>
      </c>
      <c r="E9" s="15" t="s">
        <v>188</v>
      </c>
      <c r="F9" s="15"/>
      <c r="G9" s="15"/>
      <c r="H9" s="15"/>
      <c r="I9" s="15"/>
      <c r="J9" s="15"/>
      <c r="K9" s="15"/>
      <c r="L9" s="15"/>
      <c r="M9" s="15"/>
    </row>
    <row r="10" spans="1:13" s="4" customFormat="1" hidden="1" x14ac:dyDescent="0.2">
      <c r="A10" s="28"/>
      <c r="B10" s="29" t="s">
        <v>10</v>
      </c>
      <c r="C10" s="30">
        <f>C9*'02-FSSM A'!C17</f>
        <v>1620</v>
      </c>
      <c r="D10" s="31" t="s">
        <v>48</v>
      </c>
      <c r="E10" s="32"/>
      <c r="F10" s="31"/>
      <c r="G10" s="31"/>
      <c r="H10" s="31"/>
      <c r="I10" s="31"/>
      <c r="J10" s="31"/>
      <c r="K10" s="31"/>
      <c r="L10" s="31"/>
      <c r="M10" s="31"/>
    </row>
    <row r="11" spans="1:13" s="4" customFormat="1" hidden="1" x14ac:dyDescent="0.2">
      <c r="A11" s="28"/>
      <c r="B11" s="29" t="s">
        <v>56</v>
      </c>
      <c r="C11" s="30">
        <f>C10*C8</f>
        <v>1620</v>
      </c>
      <c r="D11" s="31" t="s">
        <v>55</v>
      </c>
      <c r="E11" s="31"/>
      <c r="F11" s="31"/>
      <c r="G11" s="31"/>
      <c r="H11" s="31"/>
      <c r="I11" s="31"/>
      <c r="J11" s="31"/>
      <c r="K11" s="31"/>
      <c r="L11" s="31"/>
      <c r="M11" s="31"/>
    </row>
    <row r="12" spans="1:13" x14ac:dyDescent="0.2">
      <c r="A12" s="20">
        <v>5</v>
      </c>
      <c r="B12" s="21" t="s">
        <v>58</v>
      </c>
      <c r="C12" s="26">
        <f>('02-FSSM A'!C12)/'02-FSSM A'!C16</f>
        <v>18689.333333333332</v>
      </c>
      <c r="D12" s="15" t="s">
        <v>57</v>
      </c>
      <c r="E12" s="15" t="s">
        <v>67</v>
      </c>
      <c r="F12" s="15"/>
      <c r="G12" s="15"/>
      <c r="H12" s="15"/>
      <c r="I12" s="15"/>
      <c r="J12" s="15"/>
      <c r="K12" s="15"/>
      <c r="L12" s="15"/>
      <c r="M12" s="15"/>
    </row>
    <row r="13" spans="1:13" x14ac:dyDescent="0.2">
      <c r="A13" s="20">
        <v>6</v>
      </c>
      <c r="B13" s="21" t="s">
        <v>59</v>
      </c>
      <c r="C13" s="26">
        <f>ROUND(C12/'02-FSSM A'!C18,0)</f>
        <v>62</v>
      </c>
      <c r="D13" s="15" t="s">
        <v>57</v>
      </c>
      <c r="E13" s="15" t="s">
        <v>68</v>
      </c>
      <c r="F13" s="15"/>
      <c r="G13" s="15"/>
      <c r="H13" s="15"/>
      <c r="I13" s="15"/>
      <c r="J13" s="15"/>
      <c r="K13" s="15"/>
      <c r="L13" s="15"/>
      <c r="M13" s="15"/>
    </row>
    <row r="14" spans="1:13" x14ac:dyDescent="0.2">
      <c r="A14" s="20">
        <v>7</v>
      </c>
      <c r="B14" s="21" t="s">
        <v>72</v>
      </c>
      <c r="C14" s="33">
        <f>ROUNDUP((C13+C8)*'02-FSSM A'!C15,0)</f>
        <v>7</v>
      </c>
      <c r="D14" s="15" t="s">
        <v>57</v>
      </c>
      <c r="E14" s="15" t="s">
        <v>73</v>
      </c>
      <c r="F14" s="15"/>
      <c r="G14" s="15"/>
      <c r="H14" s="15"/>
      <c r="I14" s="15"/>
      <c r="J14" s="15"/>
      <c r="K14" s="15"/>
      <c r="L14" s="15"/>
      <c r="M14" s="15"/>
    </row>
    <row r="15" spans="1:13" x14ac:dyDescent="0.2">
      <c r="A15" s="34">
        <v>8</v>
      </c>
      <c r="B15" s="35" t="s">
        <v>62</v>
      </c>
      <c r="C15" s="36">
        <f>C16+C17+C18</f>
        <v>287.0061876649782</v>
      </c>
      <c r="D15" s="15" t="s">
        <v>55</v>
      </c>
      <c r="E15" s="15" t="s">
        <v>192</v>
      </c>
      <c r="F15" s="15"/>
      <c r="G15" s="15"/>
      <c r="H15" s="15"/>
      <c r="I15" s="15"/>
      <c r="J15" s="15"/>
      <c r="K15" s="15"/>
      <c r="L15" s="15"/>
      <c r="M15" s="15"/>
    </row>
    <row r="16" spans="1:13" x14ac:dyDescent="0.2">
      <c r="A16" s="37" t="s">
        <v>189</v>
      </c>
      <c r="B16" s="35" t="s">
        <v>63</v>
      </c>
      <c r="C16" s="38">
        <f>C7*C13</f>
        <v>206.91471605907108</v>
      </c>
      <c r="D16" s="15" t="s">
        <v>55</v>
      </c>
      <c r="E16" s="15" t="s">
        <v>69</v>
      </c>
      <c r="F16" s="15"/>
      <c r="G16" s="15"/>
      <c r="H16" s="15"/>
      <c r="I16" s="15"/>
      <c r="J16" s="15"/>
      <c r="K16" s="15"/>
      <c r="L16" s="15"/>
      <c r="M16" s="15"/>
    </row>
    <row r="17" spans="1:13" x14ac:dyDescent="0.2">
      <c r="A17" s="37" t="s">
        <v>190</v>
      </c>
      <c r="B17" s="35" t="s">
        <v>64</v>
      </c>
      <c r="C17" s="39">
        <f>C9</f>
        <v>54</v>
      </c>
      <c r="D17" s="15" t="s">
        <v>55</v>
      </c>
      <c r="E17" s="15" t="s">
        <v>70</v>
      </c>
      <c r="F17" s="15"/>
      <c r="G17" s="15"/>
      <c r="H17" s="15"/>
      <c r="I17" s="15"/>
      <c r="J17" s="15"/>
      <c r="K17" s="15"/>
      <c r="L17" s="15"/>
      <c r="M17" s="15"/>
    </row>
    <row r="18" spans="1:13" x14ac:dyDescent="0.2">
      <c r="A18" s="37" t="s">
        <v>191</v>
      </c>
      <c r="B18" s="35" t="s">
        <v>65</v>
      </c>
      <c r="C18" s="38">
        <f>'02-FSSM A'!C15*(BACKEND!C16+C17)</f>
        <v>26.091471605907113</v>
      </c>
      <c r="D18" s="15" t="s">
        <v>55</v>
      </c>
      <c r="E18" s="15" t="s">
        <v>71</v>
      </c>
      <c r="F18" s="15"/>
      <c r="G18" s="15"/>
      <c r="H18" s="15"/>
      <c r="I18" s="15"/>
      <c r="J18" s="15"/>
      <c r="K18" s="15"/>
      <c r="L18" s="15"/>
      <c r="M18" s="15"/>
    </row>
    <row r="19" spans="1:13" x14ac:dyDescent="0.2">
      <c r="A19" s="23" t="s">
        <v>6</v>
      </c>
      <c r="B19" s="24" t="s">
        <v>38</v>
      </c>
      <c r="C19" s="40"/>
      <c r="D19" s="6" t="s">
        <v>47</v>
      </c>
      <c r="E19" s="6" t="s">
        <v>52</v>
      </c>
      <c r="F19" s="15"/>
      <c r="G19" s="15"/>
      <c r="H19" s="15"/>
      <c r="I19" s="15"/>
      <c r="J19" s="15"/>
      <c r="K19" s="15"/>
      <c r="L19" s="15"/>
      <c r="M19" s="15"/>
    </row>
    <row r="20" spans="1:13" x14ac:dyDescent="0.2">
      <c r="A20" s="34">
        <v>1</v>
      </c>
      <c r="B20" s="35" t="s">
        <v>66</v>
      </c>
      <c r="C20" s="36">
        <f>ROUND(((C13+C8+C14)/'02-FSSM A'!C19),0)</f>
        <v>18</v>
      </c>
      <c r="D20" s="15" t="s">
        <v>54</v>
      </c>
      <c r="E20" s="15" t="s">
        <v>74</v>
      </c>
      <c r="F20" s="15"/>
      <c r="G20" s="15"/>
      <c r="H20" s="15"/>
      <c r="I20" s="15"/>
      <c r="J20" s="15"/>
      <c r="K20" s="15"/>
      <c r="L20" s="15"/>
      <c r="M20" s="15"/>
    </row>
    <row r="21" spans="1:13" x14ac:dyDescent="0.2">
      <c r="A21" s="23" t="s">
        <v>29</v>
      </c>
      <c r="B21" s="24" t="s">
        <v>26</v>
      </c>
      <c r="C21" s="23"/>
      <c r="D21" s="6" t="s">
        <v>47</v>
      </c>
      <c r="E21" s="6" t="s">
        <v>52</v>
      </c>
      <c r="F21" s="15"/>
      <c r="G21" s="15"/>
      <c r="H21" s="15"/>
      <c r="I21" s="15"/>
      <c r="J21" s="15"/>
      <c r="K21" s="15"/>
      <c r="L21" s="15"/>
      <c r="M21" s="15"/>
    </row>
    <row r="22" spans="1:13" x14ac:dyDescent="0.2">
      <c r="A22" s="41">
        <v>1</v>
      </c>
      <c r="B22" s="42" t="s">
        <v>80</v>
      </c>
      <c r="C22" s="43">
        <v>12000</v>
      </c>
      <c r="D22" s="15" t="s">
        <v>75</v>
      </c>
      <c r="E22" s="15"/>
      <c r="F22" s="15"/>
      <c r="G22" s="15"/>
      <c r="H22" s="15"/>
      <c r="I22" s="15"/>
      <c r="J22" s="15"/>
      <c r="K22" s="15"/>
      <c r="L22" s="15"/>
      <c r="M22" s="15"/>
    </row>
    <row r="23" spans="1:13" x14ac:dyDescent="0.2">
      <c r="A23" s="41">
        <v>2</v>
      </c>
      <c r="B23" s="42" t="s">
        <v>81</v>
      </c>
      <c r="C23" s="43">
        <v>10</v>
      </c>
      <c r="D23" s="15" t="s">
        <v>76</v>
      </c>
      <c r="E23" s="15"/>
      <c r="F23" s="15"/>
      <c r="G23" s="15"/>
      <c r="H23" s="15"/>
      <c r="I23" s="15"/>
      <c r="J23" s="15"/>
      <c r="K23" s="15"/>
      <c r="L23" s="15"/>
      <c r="M23" s="15"/>
    </row>
    <row r="24" spans="1:13" x14ac:dyDescent="0.2">
      <c r="A24" s="41">
        <v>3</v>
      </c>
      <c r="B24" s="42" t="s">
        <v>82</v>
      </c>
      <c r="C24" s="43">
        <v>60</v>
      </c>
      <c r="D24" s="15" t="s">
        <v>77</v>
      </c>
      <c r="E24" s="15"/>
      <c r="F24" s="15"/>
      <c r="G24" s="15"/>
      <c r="H24" s="15"/>
      <c r="I24" s="15"/>
      <c r="J24" s="15"/>
      <c r="K24" s="15"/>
      <c r="L24" s="15"/>
      <c r="M24" s="15"/>
    </row>
    <row r="25" spans="1:13" x14ac:dyDescent="0.2">
      <c r="A25" s="41">
        <v>4</v>
      </c>
      <c r="B25" s="42" t="s">
        <v>79</v>
      </c>
      <c r="C25" s="44">
        <v>0.1</v>
      </c>
      <c r="D25" s="15" t="s">
        <v>78</v>
      </c>
      <c r="E25" s="15"/>
      <c r="F25" s="15"/>
      <c r="G25" s="15"/>
      <c r="H25" s="15"/>
      <c r="I25" s="15"/>
      <c r="J25" s="15"/>
      <c r="K25" s="15"/>
      <c r="L25" s="15"/>
      <c r="M25" s="15"/>
    </row>
    <row r="26" spans="1:13" s="2" customFormat="1" x14ac:dyDescent="0.2">
      <c r="A26" s="45"/>
      <c r="B26" s="45"/>
      <c r="C26" s="45"/>
      <c r="D26" s="45"/>
      <c r="E26" s="45"/>
      <c r="F26" s="45"/>
      <c r="G26" s="45"/>
      <c r="H26" s="45"/>
      <c r="I26" s="45"/>
      <c r="J26" s="45"/>
      <c r="K26" s="45"/>
      <c r="L26" s="45"/>
      <c r="M26" s="45"/>
    </row>
    <row r="27" spans="1:13" x14ac:dyDescent="0.2">
      <c r="A27" s="214">
        <v>1</v>
      </c>
      <c r="B27" s="46" t="s">
        <v>39</v>
      </c>
      <c r="C27" s="47" t="s">
        <v>30</v>
      </c>
      <c r="D27" s="47" t="s">
        <v>31</v>
      </c>
      <c r="E27" s="47" t="s">
        <v>32</v>
      </c>
      <c r="F27" s="47" t="s">
        <v>60</v>
      </c>
      <c r="G27" s="47" t="s">
        <v>33</v>
      </c>
      <c r="H27" s="47" t="s">
        <v>34</v>
      </c>
      <c r="I27" s="15"/>
      <c r="J27" s="15"/>
      <c r="K27" s="15"/>
      <c r="L27" s="15"/>
      <c r="M27" s="15"/>
    </row>
    <row r="28" spans="1:13" x14ac:dyDescent="0.2">
      <c r="A28" s="214"/>
      <c r="B28" s="48" t="s">
        <v>46</v>
      </c>
      <c r="C28" s="49">
        <f>'03-FSSM B'!C15</f>
        <v>813.59624227080837</v>
      </c>
      <c r="D28" s="49">
        <f>C28*(1+$C$29)</f>
        <v>874.615960441119</v>
      </c>
      <c r="E28" s="49">
        <f>D28*(1+$C$29)</f>
        <v>940.21215747420285</v>
      </c>
      <c r="F28" s="49">
        <f>E28*(1+$C$29)</f>
        <v>1010.728069284768</v>
      </c>
      <c r="G28" s="49">
        <f>F28*(1+$C$29)</f>
        <v>1086.5326744811257</v>
      </c>
      <c r="H28" s="49">
        <f>C28+D28+E28+F28+G28</f>
        <v>4725.6851039520243</v>
      </c>
      <c r="I28" s="15"/>
      <c r="J28" s="15"/>
      <c r="K28" s="15"/>
      <c r="L28" s="15"/>
      <c r="M28" s="15"/>
    </row>
    <row r="29" spans="1:13" x14ac:dyDescent="0.2">
      <c r="A29" s="214"/>
      <c r="B29" s="48" t="s">
        <v>40</v>
      </c>
      <c r="C29" s="50">
        <v>7.4999999999999997E-2</v>
      </c>
      <c r="D29" s="41"/>
      <c r="E29" s="41"/>
      <c r="F29" s="41"/>
      <c r="G29" s="41"/>
      <c r="H29" s="41"/>
      <c r="I29" s="15"/>
      <c r="J29" s="15"/>
      <c r="K29" s="15"/>
      <c r="L29" s="15"/>
      <c r="M29" s="15"/>
    </row>
  </sheetData>
  <sheetProtection password="DCCD" sheet="1" objects="1" scenarios="1" selectLockedCells="1"/>
  <mergeCells count="2">
    <mergeCell ref="A27:A29"/>
    <mergeCell ref="A1:C1"/>
  </mergeCells>
  <pageMargins left="0.7" right="0.7" top="0.75" bottom="0.75" header="0.3" footer="0.3"/>
  <pageSetup paperSize="9" scale="67"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topLeftCell="A10" workbookViewId="0">
      <selection activeCell="G15" sqref="G15"/>
    </sheetView>
  </sheetViews>
  <sheetFormatPr baseColWidth="10" defaultColWidth="10.83203125" defaultRowHeight="15" x14ac:dyDescent="0.2"/>
  <cols>
    <col min="1" max="1" width="10.83203125" style="15"/>
    <col min="2" max="2" width="49.5" style="15" customWidth="1"/>
    <col min="3" max="3" width="15.1640625" style="15" customWidth="1"/>
    <col min="4" max="4" width="11.83203125" style="15" bestFit="1" customWidth="1"/>
    <col min="5" max="5" width="43.6640625" style="15" customWidth="1"/>
    <col min="6" max="16384" width="10.83203125" style="15"/>
  </cols>
  <sheetData>
    <row r="1" spans="1:5" ht="20" customHeight="1" x14ac:dyDescent="0.2">
      <c r="A1" s="211" t="s">
        <v>166</v>
      </c>
      <c r="B1" s="211"/>
      <c r="C1" s="211"/>
    </row>
    <row r="2" spans="1:5" ht="19" customHeight="1" x14ac:dyDescent="0.2">
      <c r="A2" s="211"/>
      <c r="B2" s="211"/>
      <c r="C2" s="211"/>
    </row>
    <row r="3" spans="1:5" ht="24" x14ac:dyDescent="0.2">
      <c r="A3" s="7"/>
      <c r="B3" s="60" t="s">
        <v>21</v>
      </c>
      <c r="C3" s="57"/>
      <c r="D3" s="6" t="s">
        <v>47</v>
      </c>
      <c r="E3" s="6" t="s">
        <v>52</v>
      </c>
    </row>
    <row r="4" spans="1:5" s="146" customFormat="1" ht="30" x14ac:dyDescent="0.2">
      <c r="A4" s="8" t="s">
        <v>4</v>
      </c>
      <c r="B4" s="9" t="s">
        <v>421</v>
      </c>
      <c r="C4" s="145">
        <f>(BACKEND!C15-'02-FSSM A'!C27)</f>
        <v>287.0061876649782</v>
      </c>
      <c r="D4" s="146" t="s">
        <v>83</v>
      </c>
      <c r="E4" s="146" t="s">
        <v>84</v>
      </c>
    </row>
    <row r="5" spans="1:5" s="146" customFormat="1" ht="45" x14ac:dyDescent="0.2">
      <c r="A5" s="8" t="s">
        <v>5</v>
      </c>
      <c r="B5" s="9" t="s">
        <v>422</v>
      </c>
      <c r="C5" s="10">
        <f>(BACKEND!C15*1.02^5)-'02-FSSM A'!C27</f>
        <v>316.87802220051907</v>
      </c>
      <c r="D5" s="146" t="s">
        <v>83</v>
      </c>
      <c r="E5" s="146" t="s">
        <v>85</v>
      </c>
    </row>
    <row r="6" spans="1:5" s="146" customFormat="1" ht="16" x14ac:dyDescent="0.2">
      <c r="A6" s="8" t="s">
        <v>6</v>
      </c>
      <c r="B6" s="9" t="s">
        <v>12</v>
      </c>
      <c r="C6" s="10">
        <f>BACKEND!C13+BACKEND!C8+BACKEND!C14</f>
        <v>70</v>
      </c>
      <c r="D6" s="146" t="s">
        <v>57</v>
      </c>
      <c r="E6" s="146" t="s">
        <v>86</v>
      </c>
    </row>
    <row r="7" spans="1:5" s="146" customFormat="1" ht="45" x14ac:dyDescent="0.2">
      <c r="A7" s="8" t="s">
        <v>29</v>
      </c>
      <c r="B7" s="9" t="s">
        <v>11</v>
      </c>
      <c r="C7" s="10">
        <f>(BACKEND!C20+'02-FSSM A'!C20)-'02-FSSM A'!C28</f>
        <v>17</v>
      </c>
      <c r="D7" s="146" t="s">
        <v>57</v>
      </c>
      <c r="E7" s="146" t="s">
        <v>167</v>
      </c>
    </row>
    <row r="8" spans="1:5" s="146" customFormat="1" ht="19" customHeight="1" x14ac:dyDescent="0.2">
      <c r="A8" s="7"/>
      <c r="B8" s="60" t="s">
        <v>174</v>
      </c>
      <c r="C8" s="59"/>
    </row>
    <row r="9" spans="1:5" s="146" customFormat="1" ht="16" x14ac:dyDescent="0.2">
      <c r="A9" s="8" t="s">
        <v>7</v>
      </c>
      <c r="B9" s="9" t="s">
        <v>15</v>
      </c>
      <c r="C9" s="11">
        <f>IF((C7*'02-FSSM A'!C22/10^5)&lt;0,0,C7*'02-FSSM A'!C22/10^5)</f>
        <v>170</v>
      </c>
      <c r="D9" s="146" t="s">
        <v>87</v>
      </c>
      <c r="E9" s="146" t="s">
        <v>88</v>
      </c>
    </row>
    <row r="10" spans="1:5" s="146" customFormat="1" ht="30" x14ac:dyDescent="0.2">
      <c r="A10" s="8" t="s">
        <v>8</v>
      </c>
      <c r="B10" s="9" t="s">
        <v>16</v>
      </c>
      <c r="C10" s="11">
        <f>IF((BACKEND!C4*$C$5/10^5)&lt;0,0,(BACKEND!C4*$C$5/10^5))</f>
        <v>5040.5082818053897</v>
      </c>
      <c r="D10" s="146" t="s">
        <v>87</v>
      </c>
      <c r="E10" s="146" t="s">
        <v>90</v>
      </c>
    </row>
    <row r="11" spans="1:5" s="146" customFormat="1" ht="32" x14ac:dyDescent="0.2">
      <c r="A11" s="12" t="s">
        <v>9</v>
      </c>
      <c r="B11" s="13" t="s">
        <v>23</v>
      </c>
      <c r="C11" s="14">
        <f>C9+C10</f>
        <v>5210.5082818053897</v>
      </c>
      <c r="D11" s="146" t="s">
        <v>87</v>
      </c>
      <c r="E11" s="146" t="s">
        <v>91</v>
      </c>
    </row>
    <row r="12" spans="1:5" s="146" customFormat="1" ht="19" customHeight="1" x14ac:dyDescent="0.2">
      <c r="A12" s="7"/>
      <c r="B12" s="60" t="s">
        <v>175</v>
      </c>
      <c r="C12" s="58"/>
    </row>
    <row r="13" spans="1:5" s="146" customFormat="1" ht="30" x14ac:dyDescent="0.2">
      <c r="A13" s="8" t="s">
        <v>27</v>
      </c>
      <c r="B13" s="9" t="s">
        <v>26</v>
      </c>
      <c r="C13" s="11">
        <f>((C7*'02-FSSM A'!C25*BACKEND!C22*12)+('03-FSSM B'!C6*'02-FSSM A'!C24*BACKEND!C24*'02-FSSM A'!C18/BACKEND!C23)+('02-FSSM A'!C22*BACKEND!C25))/10^5</f>
        <v>57.52</v>
      </c>
      <c r="D13" s="146" t="s">
        <v>92</v>
      </c>
      <c r="E13" s="146" t="s">
        <v>94</v>
      </c>
    </row>
    <row r="14" spans="1:5" s="146" customFormat="1" ht="30" x14ac:dyDescent="0.2">
      <c r="A14" s="8" t="s">
        <v>28</v>
      </c>
      <c r="B14" s="9" t="s">
        <v>93</v>
      </c>
      <c r="C14" s="11">
        <f>IF(C5&lt;=0,0,15%*C10)</f>
        <v>756.07624227080839</v>
      </c>
      <c r="D14" s="146" t="s">
        <v>92</v>
      </c>
      <c r="E14" s="146" t="s">
        <v>95</v>
      </c>
    </row>
    <row r="15" spans="1:5" s="146" customFormat="1" ht="16" x14ac:dyDescent="0.2">
      <c r="A15" s="12" t="s">
        <v>35</v>
      </c>
      <c r="B15" s="13" t="s">
        <v>96</v>
      </c>
      <c r="C15" s="14">
        <f>C13+C14</f>
        <v>813.59624227080837</v>
      </c>
      <c r="D15" s="146" t="s">
        <v>92</v>
      </c>
      <c r="E15" s="146" t="s">
        <v>97</v>
      </c>
    </row>
    <row r="16" spans="1:5" s="146" customFormat="1" ht="30" x14ac:dyDescent="0.2">
      <c r="A16" s="12" t="s">
        <v>43</v>
      </c>
      <c r="B16" s="13" t="str">
        <f>IF('01-OPTIONS'!A10="A. OPEX for 3 years","Total O &amp; M cost for 3 years","Total O &amp; M cost for 5 years")</f>
        <v>Total O &amp; M cost for 5 years</v>
      </c>
      <c r="C16" s="14">
        <f>IF('01-OPTIONS'!A10="A. OPEX for 3 years",SUM(BACKEND!C28:E28),BACKEND!H28)</f>
        <v>4725.6851039520243</v>
      </c>
      <c r="D16" s="146" t="s">
        <v>87</v>
      </c>
      <c r="E16" s="146" t="s">
        <v>98</v>
      </c>
    </row>
    <row r="19" spans="3:3" x14ac:dyDescent="0.2">
      <c r="C19" s="147"/>
    </row>
  </sheetData>
  <sheetProtection selectLockedCells="1"/>
  <mergeCells count="1">
    <mergeCell ref="A1:C2"/>
  </mergeCells>
  <phoneticPr fontId="29" type="noConversion"/>
  <pageMargins left="0.25" right="0.25" top="0.75" bottom="0.75" header="0.3" footer="0.3"/>
  <pageSetup paperSize="9" orientation="landscape"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topLeftCell="A10" zoomScale="124" zoomScaleNormal="124" zoomScalePageLayoutView="124" workbookViewId="0">
      <selection activeCell="G8" sqref="G8"/>
    </sheetView>
  </sheetViews>
  <sheetFormatPr baseColWidth="10" defaultColWidth="8.83203125" defaultRowHeight="15" x14ac:dyDescent="0.2"/>
  <cols>
    <col min="1" max="1" width="3.1640625" style="153" bestFit="1" customWidth="1"/>
    <col min="2" max="2" width="73.1640625" style="15" bestFit="1" customWidth="1"/>
    <col min="3" max="3" width="17.6640625" style="154" customWidth="1"/>
    <col min="4" max="4" width="14.5" style="15" customWidth="1"/>
    <col min="5" max="5" width="13.83203125" style="15" customWidth="1"/>
    <col min="6" max="6" width="17.83203125" style="15" bestFit="1" customWidth="1"/>
    <col min="7" max="7" width="15.5" style="15" customWidth="1"/>
    <col min="8" max="8" width="18.83203125" style="15" customWidth="1"/>
    <col min="9" max="16384" width="8.83203125" style="15"/>
  </cols>
  <sheetData>
    <row r="1" spans="1:8" ht="16" thickBot="1" x14ac:dyDescent="0.25">
      <c r="A1" s="71" t="s">
        <v>168</v>
      </c>
      <c r="B1" s="72"/>
      <c r="C1" s="149"/>
      <c r="D1" s="106"/>
      <c r="E1" s="106"/>
      <c r="F1" s="106"/>
      <c r="G1" s="106"/>
    </row>
    <row r="2" spans="1:8" x14ac:dyDescent="0.2">
      <c r="A2" s="83">
        <v>1</v>
      </c>
      <c r="B2" s="84" t="s">
        <v>133</v>
      </c>
      <c r="C2" s="191">
        <f>IF(RFE!I43="NA",0,RFE!I43)</f>
        <v>70</v>
      </c>
      <c r="D2" s="220" t="s">
        <v>126</v>
      </c>
      <c r="E2" s="221"/>
      <c r="F2" s="221"/>
      <c r="G2" s="106"/>
    </row>
    <row r="3" spans="1:8" x14ac:dyDescent="0.2">
      <c r="A3" s="90">
        <v>2</v>
      </c>
      <c r="B3" s="91" t="s">
        <v>169</v>
      </c>
      <c r="C3" s="66">
        <f>'02-FSSM A'!C12</f>
        <v>56068</v>
      </c>
      <c r="D3" s="220" t="s">
        <v>177</v>
      </c>
      <c r="E3" s="221"/>
      <c r="F3" s="221"/>
      <c r="G3" s="106"/>
    </row>
    <row r="4" spans="1:8" x14ac:dyDescent="0.2">
      <c r="A4" s="92">
        <v>3</v>
      </c>
      <c r="B4" s="93" t="s">
        <v>134</v>
      </c>
      <c r="C4" s="65">
        <f>'02-FSSM A'!C11</f>
        <v>271185</v>
      </c>
      <c r="D4" s="220" t="s">
        <v>177</v>
      </c>
      <c r="E4" s="221"/>
      <c r="F4" s="221"/>
      <c r="G4" s="106"/>
    </row>
    <row r="5" spans="1:8" ht="27" customHeight="1" x14ac:dyDescent="0.2">
      <c r="A5" s="85">
        <v>4</v>
      </c>
      <c r="B5" s="86" t="s">
        <v>132</v>
      </c>
      <c r="C5" s="190">
        <f>IF(RFE!I44="NA",0,RFE!I44)</f>
        <v>0</v>
      </c>
      <c r="D5" s="222" t="s">
        <v>176</v>
      </c>
      <c r="E5" s="223"/>
      <c r="F5" s="223"/>
      <c r="G5" s="106"/>
    </row>
    <row r="6" spans="1:8" x14ac:dyDescent="0.2">
      <c r="A6" s="92">
        <v>5</v>
      </c>
      <c r="B6" s="91" t="s">
        <v>135</v>
      </c>
      <c r="C6" s="67">
        <f>((C5/4)*7500)</f>
        <v>0</v>
      </c>
      <c r="D6" s="220" t="s">
        <v>178</v>
      </c>
      <c r="E6" s="221"/>
      <c r="F6" s="221"/>
      <c r="G6" s="106"/>
    </row>
    <row r="7" spans="1:8" x14ac:dyDescent="0.2">
      <c r="A7" s="85">
        <v>6</v>
      </c>
      <c r="B7" s="86" t="s">
        <v>405</v>
      </c>
      <c r="C7" s="190">
        <f>IF(RFE!I45="NA",0,RFE!I45)</f>
        <v>56068</v>
      </c>
      <c r="D7" s="220" t="s">
        <v>126</v>
      </c>
      <c r="E7" s="221"/>
      <c r="F7" s="221"/>
      <c r="G7" s="106"/>
    </row>
    <row r="8" spans="1:8" x14ac:dyDescent="0.2">
      <c r="A8" s="92">
        <v>7</v>
      </c>
      <c r="B8" s="91" t="s">
        <v>136</v>
      </c>
      <c r="C8" s="67">
        <f>(C7*5*4500)</f>
        <v>1261530000</v>
      </c>
      <c r="D8" s="220" t="s">
        <v>179</v>
      </c>
      <c r="E8" s="221"/>
      <c r="F8" s="221"/>
      <c r="G8" s="106"/>
    </row>
    <row r="9" spans="1:8" ht="15.75" customHeight="1" x14ac:dyDescent="0.2">
      <c r="A9" s="92">
        <v>8</v>
      </c>
      <c r="B9" s="91" t="s">
        <v>137</v>
      </c>
      <c r="C9" s="65">
        <f>(C3-(C5+C7))</f>
        <v>0</v>
      </c>
      <c r="D9" s="220" t="s">
        <v>180</v>
      </c>
      <c r="E9" s="221"/>
      <c r="F9" s="221"/>
      <c r="G9" s="106"/>
    </row>
    <row r="10" spans="1:8" ht="15.75" customHeight="1" x14ac:dyDescent="0.2">
      <c r="A10" s="92">
        <v>9</v>
      </c>
      <c r="B10" s="91" t="s">
        <v>138</v>
      </c>
      <c r="C10" s="67">
        <f>(C9*5*4500)</f>
        <v>0</v>
      </c>
      <c r="D10" s="220" t="s">
        <v>179</v>
      </c>
      <c r="E10" s="221"/>
      <c r="F10" s="221"/>
      <c r="G10" s="106"/>
    </row>
    <row r="11" spans="1:8" ht="15.75" customHeight="1" x14ac:dyDescent="0.2">
      <c r="A11" s="92">
        <v>10</v>
      </c>
      <c r="B11" s="91" t="s">
        <v>139</v>
      </c>
      <c r="C11" s="67">
        <f>((C10+C8)*(0.005+0.0055+0.00605+0.006655+0.0073205))</f>
        <v>38508834.015000001</v>
      </c>
      <c r="D11" s="220"/>
      <c r="E11" s="221"/>
      <c r="F11" s="221"/>
      <c r="G11" s="106"/>
    </row>
    <row r="12" spans="1:8" ht="15.75" customHeight="1" thickBot="1" x14ac:dyDescent="0.25">
      <c r="A12" s="94">
        <v>11</v>
      </c>
      <c r="B12" s="95" t="s">
        <v>140</v>
      </c>
      <c r="C12" s="68">
        <f>(C9*5*C2*0.8/1000)</f>
        <v>0</v>
      </c>
      <c r="D12" s="220"/>
      <c r="E12" s="221"/>
      <c r="F12" s="221"/>
      <c r="G12" s="106"/>
    </row>
    <row r="13" spans="1:8" ht="46.5" customHeight="1" x14ac:dyDescent="0.2">
      <c r="A13" s="218">
        <v>12</v>
      </c>
      <c r="B13" s="87" t="s">
        <v>141</v>
      </c>
      <c r="C13" s="102" t="s">
        <v>182</v>
      </c>
      <c r="D13" s="102" t="s">
        <v>183</v>
      </c>
      <c r="E13" s="102" t="s">
        <v>184</v>
      </c>
      <c r="F13" s="103" t="s">
        <v>185</v>
      </c>
      <c r="G13" s="106"/>
    </row>
    <row r="14" spans="1:8" ht="27.75" customHeight="1" x14ac:dyDescent="0.2">
      <c r="A14" s="219"/>
      <c r="B14" s="88" t="s">
        <v>181</v>
      </c>
      <c r="C14" s="69">
        <v>500</v>
      </c>
      <c r="D14" s="69">
        <v>500</v>
      </c>
      <c r="E14" s="69">
        <v>500</v>
      </c>
      <c r="F14" s="70">
        <v>500</v>
      </c>
      <c r="G14" s="106"/>
    </row>
    <row r="15" spans="1:8" x14ac:dyDescent="0.2">
      <c r="A15" s="219"/>
      <c r="B15" s="89" t="s">
        <v>142</v>
      </c>
      <c r="C15" s="69">
        <v>0</v>
      </c>
      <c r="D15" s="69">
        <v>0</v>
      </c>
      <c r="E15" s="69">
        <v>0</v>
      </c>
      <c r="F15" s="70">
        <v>0</v>
      </c>
      <c r="G15" s="150">
        <f>SUM(C16:F16)</f>
        <v>0</v>
      </c>
    </row>
    <row r="16" spans="1:8" s="104" customFormat="1" ht="97" customHeight="1" x14ac:dyDescent="0.2">
      <c r="A16" s="96">
        <v>13</v>
      </c>
      <c r="B16" s="97" t="s">
        <v>143</v>
      </c>
      <c r="C16" s="76">
        <f>(C14*C15)</f>
        <v>0</v>
      </c>
      <c r="D16" s="76">
        <f>(D14*D15)</f>
        <v>0</v>
      </c>
      <c r="E16" s="76">
        <f>(E14*E15)</f>
        <v>0</v>
      </c>
      <c r="F16" s="77">
        <f>(F14*F15)</f>
        <v>0</v>
      </c>
      <c r="G16" s="104" t="str">
        <f>IF(SUM(C16:F16)=C12,"NO ERROR",IF(SUM(C16:F16)&lt;C12,"UNDERESTIMATION",IF(SUM(C16:F16)&gt;C12,"OVERESTIMATION")))</f>
        <v>NO ERROR</v>
      </c>
      <c r="H16" s="105" t="str">
        <f>IF(G16="NO ERROR","","sum of all the capacities should be equal to total waste water to be treated (S. No. 11)")</f>
        <v/>
      </c>
    </row>
    <row r="17" spans="1:8" x14ac:dyDescent="0.2">
      <c r="A17" s="98">
        <v>14</v>
      </c>
      <c r="B17" s="99" t="s">
        <v>144</v>
      </c>
      <c r="C17" s="78">
        <f>(C16*25000)</f>
        <v>0</v>
      </c>
      <c r="D17" s="78">
        <f>(D16*10000)</f>
        <v>0</v>
      </c>
      <c r="E17" s="78">
        <f>(E16*35000)</f>
        <v>0</v>
      </c>
      <c r="F17" s="79">
        <f>(F16*45000)</f>
        <v>0</v>
      </c>
      <c r="G17" s="150"/>
    </row>
    <row r="18" spans="1:8" x14ac:dyDescent="0.2">
      <c r="A18" s="98">
        <v>15</v>
      </c>
      <c r="B18" s="99" t="s">
        <v>433</v>
      </c>
      <c r="C18" s="78">
        <f>IF('01-OPTIONS'!$A$10="A. OPEX for 3 years",'04-LWM'!C19,'04-LWM'!C20)</f>
        <v>0</v>
      </c>
      <c r="D18" s="78">
        <f>IF('01-OPTIONS'!$A$10="A. OPEX for 3 years",'04-LWM'!D19,'04-LWM'!D20)</f>
        <v>0</v>
      </c>
      <c r="E18" s="78">
        <f>IF('01-OPTIONS'!$A$10="A. OPEX for 3 years",'04-LWM'!E19,'04-LWM'!E20)</f>
        <v>0</v>
      </c>
      <c r="F18" s="78">
        <f>IF('01-OPTIONS'!$A$10="A. OPEX for 3 years",'04-LWM'!F19,'04-LWM'!F20)</f>
        <v>0</v>
      </c>
      <c r="G18" s="150"/>
      <c r="H18" s="151"/>
    </row>
    <row r="19" spans="1:8" x14ac:dyDescent="0.2">
      <c r="A19" s="98" t="s">
        <v>431</v>
      </c>
      <c r="B19" s="99" t="s">
        <v>429</v>
      </c>
      <c r="C19" s="185">
        <f>(C17*0.15*3.31)</f>
        <v>0</v>
      </c>
      <c r="D19" s="185">
        <f>(D17*0.02+D17*0.022+D17*0.024)</f>
        <v>0</v>
      </c>
      <c r="E19" s="185">
        <f>((E16*365*8)*(3.31))</f>
        <v>0</v>
      </c>
      <c r="F19" s="186">
        <f>(500*F16*3.31)</f>
        <v>0</v>
      </c>
      <c r="G19" s="150"/>
      <c r="H19" s="151"/>
    </row>
    <row r="20" spans="1:8" x14ac:dyDescent="0.2">
      <c r="A20" s="98" t="s">
        <v>432</v>
      </c>
      <c r="B20" s="99" t="s">
        <v>430</v>
      </c>
      <c r="C20" s="185">
        <f>(C17*0.15*6.1051)</f>
        <v>0</v>
      </c>
      <c r="D20" s="185">
        <f>(D17*0.02+D17*0.022+D17*0.024+D17*0.026+D17*0.029)</f>
        <v>0</v>
      </c>
      <c r="E20" s="185">
        <f>((E16*365*8)*(6.1051))</f>
        <v>0</v>
      </c>
      <c r="F20" s="186">
        <f>(500*F16*6.1051)</f>
        <v>0</v>
      </c>
      <c r="G20" s="150"/>
      <c r="H20" s="151"/>
    </row>
    <row r="21" spans="1:8" x14ac:dyDescent="0.2">
      <c r="A21" s="98">
        <v>16</v>
      </c>
      <c r="B21" s="99" t="s">
        <v>145</v>
      </c>
      <c r="C21" s="78">
        <f>IF('01-OPTIONS'!$A$10="A. OPEX for 3 years",'04-LWM'!C22,'04-LWM'!C23)</f>
        <v>0</v>
      </c>
      <c r="D21" s="78">
        <f>IF('01-OPTIONS'!$A$10="A. OPEX for 3 years",'04-LWM'!D22,'04-LWM'!D23)</f>
        <v>0</v>
      </c>
      <c r="E21" s="78">
        <f>IF('01-OPTIONS'!$A$10="A. OPEX for 3 years",'04-LWM'!E22,'04-LWM'!E23)</f>
        <v>0</v>
      </c>
      <c r="F21" s="78">
        <f>IF('01-OPTIONS'!$A$10="A. OPEX for 3 years",'04-LWM'!F22,'04-LWM'!F23)</f>
        <v>0</v>
      </c>
      <c r="G21" s="150"/>
      <c r="H21" s="151"/>
    </row>
    <row r="22" spans="1:8" x14ac:dyDescent="0.2">
      <c r="A22" s="98" t="s">
        <v>431</v>
      </c>
      <c r="B22" s="99" t="s">
        <v>434</v>
      </c>
      <c r="C22" s="185">
        <f>(C15*360000*3)</f>
        <v>0</v>
      </c>
      <c r="D22" s="185">
        <f>(D15*144000*3)</f>
        <v>0</v>
      </c>
      <c r="E22" s="185">
        <f>(E15*144000*3)</f>
        <v>0</v>
      </c>
      <c r="F22" s="186">
        <f>(F15*144000*3)</f>
        <v>0</v>
      </c>
      <c r="G22" s="150"/>
      <c r="H22" s="151"/>
    </row>
    <row r="23" spans="1:8" x14ac:dyDescent="0.2">
      <c r="A23" s="98" t="s">
        <v>432</v>
      </c>
      <c r="B23" s="99" t="s">
        <v>435</v>
      </c>
      <c r="C23" s="185">
        <f>(C15*360000*5)</f>
        <v>0</v>
      </c>
      <c r="D23" s="185">
        <f>(D15*144000*5)</f>
        <v>0</v>
      </c>
      <c r="E23" s="185">
        <f>(E15*144000*5)</f>
        <v>0</v>
      </c>
      <c r="F23" s="186">
        <f>(F15*144000*5)</f>
        <v>0</v>
      </c>
      <c r="G23" s="150"/>
      <c r="H23" s="151"/>
    </row>
    <row r="24" spans="1:8" ht="16" thickBot="1" x14ac:dyDescent="0.25">
      <c r="A24" s="98">
        <v>17</v>
      </c>
      <c r="B24" s="99" t="s">
        <v>146</v>
      </c>
      <c r="C24" s="78">
        <f>(C17+C18+C21)</f>
        <v>0</v>
      </c>
      <c r="D24" s="80">
        <f>(D17+D18+D21)</f>
        <v>0</v>
      </c>
      <c r="E24" s="80">
        <f>(E17+E18+E21)</f>
        <v>0</v>
      </c>
      <c r="F24" s="81">
        <f>(F17+F18+F21)</f>
        <v>0</v>
      </c>
      <c r="G24" s="106"/>
    </row>
    <row r="25" spans="1:8" ht="16" thickBot="1" x14ac:dyDescent="0.25">
      <c r="A25" s="100">
        <v>18</v>
      </c>
      <c r="B25" s="101" t="s">
        <v>170</v>
      </c>
      <c r="C25" s="82">
        <f>IF(SUM(C17:F17)&lt;0,0,SUM(C17:F17))</f>
        <v>0</v>
      </c>
      <c r="D25" s="73"/>
      <c r="E25" s="73"/>
      <c r="F25" s="73"/>
      <c r="G25" s="106"/>
    </row>
    <row r="26" spans="1:8" ht="16" thickBot="1" x14ac:dyDescent="0.25">
      <c r="A26" s="100">
        <v>19</v>
      </c>
      <c r="B26" s="101" t="s">
        <v>171</v>
      </c>
      <c r="C26" s="82">
        <f>IF(SUM(C6,C8,C10,C11)&lt;0,0,SUM(C6,C8,C10,C11))</f>
        <v>1300038834.0150001</v>
      </c>
      <c r="D26" s="73"/>
      <c r="E26" s="73"/>
      <c r="F26" s="73"/>
      <c r="G26" s="106"/>
    </row>
    <row r="27" spans="1:8" s="6" customFormat="1" ht="16" thickBot="1" x14ac:dyDescent="0.25">
      <c r="A27" s="61">
        <v>20</v>
      </c>
      <c r="B27" s="62" t="s">
        <v>172</v>
      </c>
      <c r="C27" s="74">
        <f>IF(SUM(C25:C26)&lt;0,0,SUM(C25:C26))</f>
        <v>1300038834.0150001</v>
      </c>
      <c r="D27" s="75"/>
      <c r="E27" s="75"/>
      <c r="F27" s="75"/>
    </row>
    <row r="28" spans="1:8" s="6" customFormat="1" ht="16" thickBot="1" x14ac:dyDescent="0.25">
      <c r="A28" s="61">
        <v>21</v>
      </c>
      <c r="B28" s="62" t="s">
        <v>173</v>
      </c>
      <c r="C28" s="74">
        <f>SUM(C18:F18)+SUM(C21:F21)</f>
        <v>0</v>
      </c>
      <c r="D28" s="75"/>
      <c r="E28" s="75"/>
      <c r="F28" s="75"/>
    </row>
    <row r="29" spans="1:8" s="6" customFormat="1" ht="16" thickBot="1" x14ac:dyDescent="0.25">
      <c r="A29" s="63">
        <v>22</v>
      </c>
      <c r="B29" s="64" t="s">
        <v>147</v>
      </c>
      <c r="C29" s="74">
        <f>C27+C28</f>
        <v>1300038834.0150001</v>
      </c>
      <c r="D29" s="75"/>
      <c r="E29" s="75"/>
      <c r="F29" s="75"/>
    </row>
    <row r="30" spans="1:8" x14ac:dyDescent="0.2">
      <c r="A30" s="148"/>
      <c r="B30" s="106"/>
      <c r="C30" s="152"/>
      <c r="D30" s="152"/>
      <c r="E30" s="152"/>
      <c r="F30" s="152"/>
      <c r="G30" s="106"/>
    </row>
  </sheetData>
  <sheetProtection selectLockedCells="1"/>
  <mergeCells count="12">
    <mergeCell ref="A13:A15"/>
    <mergeCell ref="D2:F2"/>
    <mergeCell ref="D3:F3"/>
    <mergeCell ref="D4:F4"/>
    <mergeCell ref="D5:F5"/>
    <mergeCell ref="D6:F6"/>
    <mergeCell ref="D7:F7"/>
    <mergeCell ref="D8:F8"/>
    <mergeCell ref="D9:F9"/>
    <mergeCell ref="D10:F10"/>
    <mergeCell ref="D11:F11"/>
    <mergeCell ref="D12:F12"/>
  </mergeCells>
  <phoneticPr fontId="29" type="noConversion"/>
  <conditionalFormatting sqref="H16">
    <cfRule type="containsText" dxfId="3" priority="4" operator="containsText" text="sum of all the capacities should be equal to total waste water to be treated (S. No. 11)">
      <formula>NOT(ISERROR(SEARCH("sum of all the capacities should be equal to total waste water to be treated (S. No. 11)",H16)))</formula>
    </cfRule>
  </conditionalFormatting>
  <conditionalFormatting sqref="G16">
    <cfRule type="containsText" dxfId="2" priority="1" operator="containsText" text="NO ERROR">
      <formula>NOT(ISERROR(SEARCH("NO ERROR",G16)))</formula>
    </cfRule>
    <cfRule type="containsText" dxfId="1" priority="2" operator="containsText" text="OVERESTIMATION">
      <formula>NOT(ISERROR(SEARCH("OVERESTIMATION",G16)))</formula>
    </cfRule>
    <cfRule type="containsText" dxfId="0" priority="3" operator="containsText" text="UNDERESTIMATION">
      <formula>NOT(ISERROR(SEARCH("UNDERESTIMATION",G16)))</formula>
    </cfRule>
  </conditionalFormatting>
  <pageMargins left="0.25" right="0.25" top="0.75" bottom="0.75" header="0.3" footer="0.3"/>
  <pageSetup scale="94" orientation="landscape"/>
  <colBreaks count="1" manualBreakCount="1">
    <brk id="6"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election activeCell="I13" sqref="I13"/>
    </sheetView>
  </sheetViews>
  <sheetFormatPr baseColWidth="10" defaultColWidth="10.83203125" defaultRowHeight="16" x14ac:dyDescent="0.2"/>
  <cols>
    <col min="1" max="16384" width="10.83203125" style="187"/>
  </cols>
  <sheetData>
    <row r="2" spans="1:4" x14ac:dyDescent="0.2">
      <c r="A2" s="187" t="s">
        <v>442</v>
      </c>
      <c r="B2" s="187">
        <v>1</v>
      </c>
    </row>
    <row r="3" spans="1:4" x14ac:dyDescent="0.2">
      <c r="A3" s="187" t="s">
        <v>441</v>
      </c>
      <c r="B3" s="187">
        <f>B2+(B2*C3)</f>
        <v>1.1000000000000001</v>
      </c>
      <c r="C3" s="189">
        <v>0.1</v>
      </c>
      <c r="D3" s="187" t="s">
        <v>443</v>
      </c>
    </row>
    <row r="4" spans="1:4" x14ac:dyDescent="0.2">
      <c r="A4" s="187" t="s">
        <v>440</v>
      </c>
      <c r="B4" s="187">
        <f>B3+(B3*C3)</f>
        <v>1.2100000000000002</v>
      </c>
    </row>
    <row r="5" spans="1:4" x14ac:dyDescent="0.2">
      <c r="A5" s="187" t="s">
        <v>439</v>
      </c>
      <c r="B5" s="187">
        <f>B4+(B4*C3)</f>
        <v>1.3310000000000002</v>
      </c>
    </row>
    <row r="6" spans="1:4" x14ac:dyDescent="0.2">
      <c r="A6" s="187" t="s">
        <v>438</v>
      </c>
      <c r="B6" s="187">
        <f>B5+(B5*C3)</f>
        <v>1.4641000000000002</v>
      </c>
    </row>
    <row r="7" spans="1:4" x14ac:dyDescent="0.2">
      <c r="A7" s="187" t="s">
        <v>437</v>
      </c>
      <c r="B7" s="188">
        <f>SUM(B2:B6)</f>
        <v>6.1051000000000011</v>
      </c>
    </row>
    <row r="8" spans="1:4" x14ac:dyDescent="0.2">
      <c r="A8" s="187" t="s">
        <v>436</v>
      </c>
      <c r="B8" s="188">
        <f>SUM(B2:B4)</f>
        <v>3.3100000000000005</v>
      </c>
    </row>
  </sheetData>
  <sheetProtection password="DCCD" sheet="1" objects="1" scenarios="1" select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Instructions for use of Tool</vt:lpstr>
      <vt:lpstr>01-OPTIONS</vt:lpstr>
      <vt:lpstr>RFE</vt:lpstr>
      <vt:lpstr>DROPDOWN</vt:lpstr>
      <vt:lpstr>02-FSSM A</vt:lpstr>
      <vt:lpstr>BACKEND</vt:lpstr>
      <vt:lpstr>03-FSSM B</vt:lpstr>
      <vt:lpstr>04-LWM</vt:lpstr>
      <vt:lpstr>LWM-Inflation Formula</vt:lpstr>
      <vt:lpstr>CONSOLIDATED COST SUMMARIES</vt:lpstr>
      <vt:lpstr>Database sheet</vt:lpstr>
      <vt:lpstr>'04-LWM'!Print_Area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2016-08-12T06:22:48Z</cp:lastPrinted>
  <dcterms:created xsi:type="dcterms:W3CDTF">2006-09-16T00:00:00Z</dcterms:created>
  <dcterms:modified xsi:type="dcterms:W3CDTF">2018-04-03T02:16:35Z</dcterms:modified>
</cp:coreProperties>
</file>